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10" windowHeight="11160" activeTab="14"/>
  </bookViews>
  <sheets>
    <sheet name="ENE 23" sheetId="6" r:id="rId1"/>
    <sheet name="JUN22" sheetId="11" state="hidden" r:id="rId2"/>
    <sheet name="JUL22" sheetId="12" state="hidden" r:id="rId3"/>
    <sheet name="AGO22" sheetId="13" state="hidden" r:id="rId4"/>
    <sheet name="SEP22" sheetId="14" state="hidden" r:id="rId5"/>
    <sheet name="OCT22" sheetId="15" state="hidden" r:id="rId6"/>
    <sheet name="NOV22" sheetId="1" state="hidden" r:id="rId7"/>
    <sheet name="DIC22" sheetId="5" state="hidden" r:id="rId8"/>
    <sheet name="TOTAL 2021" sheetId="17" state="hidden" r:id="rId9"/>
    <sheet name="Hoja2" sheetId="18" state="hidden" r:id="rId10"/>
    <sheet name="Hoja1" sheetId="19" state="hidden" r:id="rId11"/>
    <sheet name="0223" sheetId="7" r:id="rId12"/>
    <sheet name="MAR23" sheetId="8" r:id="rId13"/>
    <sheet name="ABR 2023" sheetId="9" r:id="rId14"/>
    <sheet name="MAY23" sheetId="10" r:id="rId15"/>
    <sheet name="Hoja3" sheetId="20" r:id="rId16"/>
  </sheets>
  <definedNames>
    <definedName name="_xlnm.Print_Area" localSheetId="11">'0223'!$A$1:$H$63</definedName>
    <definedName name="_xlnm.Print_Area" localSheetId="13">'ABR 2023'!$A$1:$H$62</definedName>
    <definedName name="_xlnm.Print_Area" localSheetId="3">'AGO22'!$A$1:$H$62</definedName>
    <definedName name="_xlnm.Print_Area" localSheetId="7">'DIC22'!$A$1:$H$62</definedName>
    <definedName name="_xlnm.Print_Area" localSheetId="0">'ENE 23'!$A$1:$H$62</definedName>
    <definedName name="_xlnm.Print_Area" localSheetId="2">'JUL22'!$A$1:$H$62</definedName>
    <definedName name="_xlnm.Print_Area" localSheetId="1">'JUN22'!$A$1:$H$62</definedName>
    <definedName name="_xlnm.Print_Area" localSheetId="12">'MAR23'!$A$1:$H$62</definedName>
    <definedName name="_xlnm.Print_Area" localSheetId="14">'MAY23'!$A$1:$H$62</definedName>
    <definedName name="_xlnm.Print_Area" localSheetId="6">'NOV22'!$A$1:$H$61</definedName>
    <definedName name="_xlnm.Print_Area" localSheetId="5">'OCT22'!$A$1:$H$62</definedName>
    <definedName name="_xlnm.Print_Area" localSheetId="4">'SEP22'!$A$1:$H$62</definedName>
    <definedName name="_xlnm.Print_Area" localSheetId="8">'TOTAL 2021'!$A$1:$H$61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0" l="1"/>
  <c r="L39" i="10"/>
  <c r="U9" i="10"/>
  <c r="R9" i="10"/>
  <c r="Q9" i="10"/>
  <c r="P9" i="10"/>
  <c r="N9" i="10"/>
  <c r="O7" i="10"/>
  <c r="G31" i="9" l="1"/>
  <c r="M39" i="9"/>
  <c r="G20" i="9"/>
  <c r="T9" i="9"/>
  <c r="L10" i="9"/>
  <c r="X9" i="9"/>
  <c r="V9" i="9"/>
  <c r="S9" i="9"/>
  <c r="R9" i="9"/>
  <c r="N9" i="9"/>
  <c r="L39" i="8" l="1"/>
  <c r="Q39" i="8"/>
  <c r="G43" i="8"/>
  <c r="G31" i="8"/>
  <c r="T9" i="8"/>
  <c r="T18" i="8"/>
  <c r="R9" i="8"/>
  <c r="P9" i="8"/>
  <c r="N9" i="8"/>
  <c r="L40" i="7" l="1"/>
  <c r="G44" i="7"/>
  <c r="G9" i="7"/>
  <c r="U9" i="7"/>
  <c r="S9" i="7"/>
  <c r="R9" i="7"/>
  <c r="P9" i="7"/>
  <c r="M9" i="7"/>
  <c r="N9" i="7"/>
  <c r="G31" i="6" l="1"/>
  <c r="G9" i="6"/>
  <c r="U9" i="6"/>
  <c r="S9" i="6"/>
  <c r="Q9" i="6"/>
  <c r="O9" i="6"/>
  <c r="M9" i="6"/>
  <c r="L40" i="5" l="1"/>
  <c r="G44" i="5"/>
  <c r="G32" i="5"/>
  <c r="U9" i="5"/>
  <c r="S9" i="5"/>
  <c r="Q9" i="5"/>
  <c r="O9" i="5"/>
  <c r="N9" i="5"/>
  <c r="G31" i="1" l="1"/>
  <c r="G32" i="15"/>
  <c r="G32" i="1" s="1"/>
  <c r="G9" i="1"/>
  <c r="U9" i="1"/>
  <c r="S9" i="1"/>
  <c r="Q9" i="1"/>
  <c r="O9" i="1"/>
  <c r="G14" i="15" l="1"/>
  <c r="V9" i="15" l="1"/>
  <c r="T9" i="15"/>
  <c r="R9" i="15"/>
  <c r="Q11" i="15"/>
  <c r="P9" i="15"/>
  <c r="N9" i="15"/>
  <c r="M9" i="15"/>
  <c r="T7" i="15"/>
  <c r="V7" i="15"/>
  <c r="R7" i="15"/>
  <c r="Q7" i="15"/>
  <c r="S7" i="15" s="1"/>
  <c r="U7" i="15" s="1"/>
  <c r="O7" i="15"/>
  <c r="G32" i="14" l="1"/>
  <c r="V18" i="14" l="1"/>
  <c r="O9" i="14"/>
  <c r="V9" i="14"/>
  <c r="T9" i="14"/>
  <c r="T18" i="14"/>
  <c r="R18" i="14"/>
  <c r="R9" i="14"/>
  <c r="G29" i="14"/>
  <c r="L31" i="14"/>
  <c r="G31" i="14" s="1"/>
  <c r="L39" i="13" l="1"/>
  <c r="G43" i="13"/>
  <c r="G31" i="13"/>
  <c r="O9" i="13" l="1"/>
  <c r="G32" i="13"/>
  <c r="L10" i="13"/>
  <c r="L11" i="13"/>
  <c r="L9" i="13"/>
  <c r="V9" i="13"/>
  <c r="T9" i="13"/>
  <c r="R9" i="13"/>
  <c r="Q9" i="13"/>
  <c r="Q7" i="13"/>
  <c r="T7" i="13" s="1"/>
  <c r="V7" i="13" s="1"/>
  <c r="P7" i="13"/>
  <c r="S7" i="13" s="1"/>
  <c r="U7" i="13" s="1"/>
  <c r="G31" i="12" l="1"/>
  <c r="G27" i="12"/>
  <c r="G47" i="12"/>
  <c r="G29" i="12"/>
  <c r="G9" i="12"/>
  <c r="V9" i="12"/>
  <c r="T9" i="12"/>
  <c r="R9" i="12"/>
  <c r="Q11" i="12"/>
  <c r="P9" i="12"/>
  <c r="N9" i="12"/>
  <c r="G43" i="11" l="1"/>
  <c r="G31" i="11"/>
  <c r="L43" i="11"/>
  <c r="L39" i="11"/>
  <c r="T9" i="11" l="1"/>
  <c r="T18" i="11"/>
  <c r="R18" i="11"/>
  <c r="R9" i="11"/>
  <c r="Q18" i="11"/>
  <c r="P18" i="11"/>
  <c r="P9" i="11"/>
  <c r="N9" i="11"/>
  <c r="M9" i="11"/>
  <c r="Q7" i="11"/>
  <c r="S7" i="11"/>
  <c r="P7" i="11"/>
  <c r="R7" i="11" s="1"/>
  <c r="T7" i="11" s="1"/>
  <c r="O7" i="11"/>
  <c r="G29" i="10" l="1"/>
  <c r="G9" i="10"/>
  <c r="L39" i="9" l="1"/>
  <c r="R7" i="9"/>
  <c r="T7" i="9" s="1"/>
  <c r="V7" i="9" s="1"/>
  <c r="Q7" i="9"/>
  <c r="S7" i="9" s="1"/>
  <c r="U7" i="9" s="1"/>
  <c r="W7" i="9" s="1"/>
  <c r="L32" i="8" l="1"/>
  <c r="P7" i="8"/>
  <c r="R7" i="8" s="1"/>
  <c r="O7" i="8"/>
  <c r="Q7" i="8" s="1"/>
  <c r="A11" i="7" l="1"/>
  <c r="G28" i="17" l="1"/>
  <c r="G29" i="17"/>
  <c r="G11" i="17"/>
  <c r="G48" i="17"/>
  <c r="G47" i="17"/>
  <c r="G27" i="17"/>
  <c r="H60" i="17"/>
  <c r="L31" i="1" l="1"/>
  <c r="L39" i="1"/>
  <c r="L43" i="1"/>
  <c r="P7" i="1"/>
  <c r="R7" i="1" s="1"/>
  <c r="T7" i="1" s="1"/>
  <c r="O7" i="1"/>
  <c r="Q7" i="1" s="1"/>
  <c r="S7" i="1" s="1"/>
  <c r="U7" i="1" s="1"/>
  <c r="L9" i="1" l="1"/>
  <c r="S7" i="14"/>
  <c r="L39" i="12" l="1"/>
  <c r="L40" i="12"/>
  <c r="L42" i="12"/>
  <c r="G32" i="8" l="1"/>
  <c r="L32" i="10" s="1"/>
  <c r="L11" i="7" l="1"/>
  <c r="P7" i="7"/>
  <c r="R7" i="7" s="1"/>
  <c r="U7" i="7" s="1"/>
  <c r="O7" i="7"/>
  <c r="Q7" i="7" s="1"/>
  <c r="T7" i="7" s="1"/>
  <c r="L39" i="15" l="1"/>
  <c r="P26" i="13" l="1"/>
  <c r="Q26" i="13"/>
  <c r="S26" i="13"/>
  <c r="T26" i="13"/>
  <c r="U26" i="13"/>
  <c r="V26" i="13"/>
  <c r="O26" i="13"/>
  <c r="B41" i="13"/>
  <c r="P7" i="12" l="1"/>
  <c r="R7" i="12" s="1"/>
  <c r="T7" i="12" s="1"/>
  <c r="O7" i="12"/>
  <c r="Q7" i="12" s="1"/>
  <c r="S7" i="12" s="1"/>
  <c r="L45" i="10" l="1"/>
  <c r="G32" i="10" l="1"/>
  <c r="G32" i="12" s="1"/>
  <c r="G32" i="17" s="1"/>
  <c r="Q7" i="10"/>
  <c r="P7" i="10"/>
  <c r="G18" i="9" l="1"/>
  <c r="G46" i="9" l="1"/>
  <c r="L41" i="9"/>
  <c r="L31" i="9"/>
  <c r="G29" i="8" l="1"/>
  <c r="G42" i="8"/>
  <c r="Q7" i="6" l="1"/>
  <c r="S7" i="6" s="1"/>
  <c r="P7" i="6"/>
  <c r="R7" i="6" s="1"/>
  <c r="T7" i="6" s="1"/>
  <c r="G54" i="17" l="1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G38" i="17" s="1"/>
  <c r="L35" i="17"/>
  <c r="G37" i="17" s="1"/>
  <c r="L34" i="17"/>
  <c r="G36" i="17" s="1"/>
  <c r="L33" i="17"/>
  <c r="L32" i="17"/>
  <c r="L31" i="17"/>
  <c r="L30" i="17"/>
  <c r="L29" i="17"/>
  <c r="L28" i="17"/>
  <c r="L27" i="17"/>
  <c r="L19" i="17"/>
  <c r="L18" i="17"/>
  <c r="L16" i="17"/>
  <c r="L15" i="17"/>
  <c r="L14" i="17"/>
  <c r="L13" i="17"/>
  <c r="L12" i="17"/>
  <c r="L11" i="17"/>
  <c r="L10" i="17"/>
  <c r="Y9" i="17"/>
  <c r="X9" i="17"/>
  <c r="V9" i="17"/>
  <c r="T9" i="17"/>
  <c r="R9" i="17"/>
  <c r="P9" i="17"/>
  <c r="N9" i="17"/>
  <c r="L8" i="17"/>
  <c r="L53" i="17" l="1"/>
  <c r="L9" i="17"/>
  <c r="L17" i="17" s="1"/>
  <c r="L50" i="17"/>
  <c r="L51" i="17"/>
  <c r="L52" i="17"/>
  <c r="L20" i="17"/>
  <c r="G35" i="17"/>
  <c r="G39" i="17" l="1"/>
  <c r="H39" i="17"/>
  <c r="L21" i="17"/>
  <c r="L35" i="12" l="1"/>
  <c r="L36" i="12"/>
  <c r="L37" i="12"/>
  <c r="L38" i="12"/>
  <c r="G39" i="12"/>
  <c r="H39" i="12"/>
  <c r="G55" i="11" l="1"/>
  <c r="L49" i="15" l="1"/>
  <c r="G55" i="15" s="1"/>
  <c r="L48" i="15"/>
  <c r="L47" i="15"/>
  <c r="L46" i="15"/>
  <c r="L45" i="15"/>
  <c r="L44" i="15"/>
  <c r="L43" i="15"/>
  <c r="G47" i="15" s="1"/>
  <c r="L42" i="15"/>
  <c r="G46" i="15" s="1"/>
  <c r="L41" i="15"/>
  <c r="L38" i="15"/>
  <c r="G42" i="15" s="1"/>
  <c r="L37" i="15"/>
  <c r="L36" i="15"/>
  <c r="G38" i="15" s="1"/>
  <c r="L35" i="15"/>
  <c r="G37" i="15" s="1"/>
  <c r="L34" i="15"/>
  <c r="G36" i="15" s="1"/>
  <c r="L33" i="15"/>
  <c r="G35" i="15" s="1"/>
  <c r="L32" i="15"/>
  <c r="L31" i="15"/>
  <c r="L30" i="15"/>
  <c r="G30" i="15" s="1"/>
  <c r="L29" i="15"/>
  <c r="L28" i="15"/>
  <c r="L27" i="15"/>
  <c r="L19" i="15"/>
  <c r="G21" i="15" s="1"/>
  <c r="L18" i="15"/>
  <c r="G20" i="15" s="1"/>
  <c r="L16" i="15"/>
  <c r="G17" i="15" s="1"/>
  <c r="L15" i="15"/>
  <c r="G16" i="15" s="1"/>
  <c r="L14" i="15"/>
  <c r="L13" i="15"/>
  <c r="L12" i="15"/>
  <c r="G13" i="15" s="1"/>
  <c r="L11" i="15"/>
  <c r="L10" i="15"/>
  <c r="G11" i="15" s="1"/>
  <c r="L9" i="15"/>
  <c r="G10" i="15" s="1"/>
  <c r="L49" i="14"/>
  <c r="L48" i="14"/>
  <c r="L47" i="14"/>
  <c r="L46" i="14"/>
  <c r="L45" i="14"/>
  <c r="G49" i="14" s="1"/>
  <c r="L44" i="14"/>
  <c r="L43" i="14"/>
  <c r="L40" i="14"/>
  <c r="G44" i="14" s="1"/>
  <c r="L36" i="14"/>
  <c r="G38" i="14" s="1"/>
  <c r="L35" i="14"/>
  <c r="G37" i="14" s="1"/>
  <c r="L34" i="14"/>
  <c r="G36" i="14" s="1"/>
  <c r="L33" i="14"/>
  <c r="L32" i="14"/>
  <c r="L28" i="14"/>
  <c r="L27" i="14"/>
  <c r="L19" i="14"/>
  <c r="G21" i="14" s="1"/>
  <c r="L18" i="14"/>
  <c r="G20" i="14" s="1"/>
  <c r="L16" i="14"/>
  <c r="G17" i="14" s="1"/>
  <c r="L15" i="14"/>
  <c r="G16" i="14" s="1"/>
  <c r="L14" i="14"/>
  <c r="L13" i="14"/>
  <c r="L12" i="14"/>
  <c r="G13" i="14" s="1"/>
  <c r="L11" i="14"/>
  <c r="G12" i="14" s="1"/>
  <c r="L10" i="14"/>
  <c r="G11" i="14" s="1"/>
  <c r="L9" i="14"/>
  <c r="G10" i="14" s="1"/>
  <c r="L49" i="13"/>
  <c r="L48" i="13"/>
  <c r="G55" i="13" s="1"/>
  <c r="L47" i="13"/>
  <c r="L46" i="13"/>
  <c r="L45" i="13"/>
  <c r="G50" i="13" s="1"/>
  <c r="L44" i="13"/>
  <c r="G49" i="13" s="1"/>
  <c r="L43" i="13"/>
  <c r="L42" i="13"/>
  <c r="G47" i="13" s="1"/>
  <c r="L41" i="13"/>
  <c r="G46" i="13" s="1"/>
  <c r="L40" i="13"/>
  <c r="G45" i="13" s="1"/>
  <c r="L38" i="13"/>
  <c r="L37" i="13"/>
  <c r="L36" i="13"/>
  <c r="G39" i="13" s="1"/>
  <c r="L35" i="13"/>
  <c r="G38" i="13" s="1"/>
  <c r="L34" i="13"/>
  <c r="G37" i="13" s="1"/>
  <c r="L33" i="13"/>
  <c r="L32" i="13"/>
  <c r="L31" i="13"/>
  <c r="L30" i="13"/>
  <c r="L29" i="13"/>
  <c r="L28" i="13"/>
  <c r="L27" i="13"/>
  <c r="L19" i="13"/>
  <c r="G22" i="13" s="1"/>
  <c r="L18" i="13"/>
  <c r="G21" i="13" s="1"/>
  <c r="L16" i="13"/>
  <c r="G18" i="13" s="1"/>
  <c r="L15" i="13"/>
  <c r="G17" i="13" s="1"/>
  <c r="L14" i="13"/>
  <c r="L13" i="13"/>
  <c r="G15" i="13" s="1"/>
  <c r="L12" i="13"/>
  <c r="G12" i="13"/>
  <c r="G14" i="13"/>
  <c r="G9" i="13"/>
  <c r="L49" i="12"/>
  <c r="G55" i="12" s="1"/>
  <c r="L48" i="12"/>
  <c r="G54" i="12" s="1"/>
  <c r="L47" i="12"/>
  <c r="L46" i="12"/>
  <c r="L44" i="12"/>
  <c r="G48" i="12" s="1"/>
  <c r="G44" i="12"/>
  <c r="G42" i="12"/>
  <c r="G41" i="12"/>
  <c r="L34" i="12"/>
  <c r="L33" i="12"/>
  <c r="L28" i="12"/>
  <c r="L19" i="12"/>
  <c r="G21" i="12" s="1"/>
  <c r="L18" i="12"/>
  <c r="G20" i="12" s="1"/>
  <c r="L16" i="12"/>
  <c r="G17" i="12" s="1"/>
  <c r="L15" i="12"/>
  <c r="G16" i="12" s="1"/>
  <c r="L14" i="12"/>
  <c r="G15" i="12" s="1"/>
  <c r="L13" i="12"/>
  <c r="L12" i="12"/>
  <c r="G12" i="12" s="1"/>
  <c r="L11" i="12"/>
  <c r="G11" i="12" s="1"/>
  <c r="L10" i="12"/>
  <c r="G13" i="12" s="1"/>
  <c r="L9" i="12"/>
  <c r="G10" i="12" s="1"/>
  <c r="L49" i="11"/>
  <c r="L48" i="11"/>
  <c r="L47" i="11"/>
  <c r="L46" i="11"/>
  <c r="L45" i="11"/>
  <c r="G49" i="11" s="1"/>
  <c r="L44" i="11"/>
  <c r="G48" i="11" s="1"/>
  <c r="G47" i="11"/>
  <c r="L42" i="11"/>
  <c r="L41" i="11"/>
  <c r="L40" i="11"/>
  <c r="G44" i="11" s="1"/>
  <c r="L38" i="11"/>
  <c r="L37" i="11"/>
  <c r="G41" i="11" s="1"/>
  <c r="L36" i="11"/>
  <c r="G38" i="11" s="1"/>
  <c r="L35" i="11"/>
  <c r="G37" i="11" s="1"/>
  <c r="L34" i="11"/>
  <c r="G36" i="11" s="1"/>
  <c r="L33" i="11"/>
  <c r="G35" i="11" s="1"/>
  <c r="L30" i="11"/>
  <c r="L50" i="11" s="1"/>
  <c r="L28" i="11"/>
  <c r="L19" i="11"/>
  <c r="L18" i="11"/>
  <c r="G20" i="11" s="1"/>
  <c r="G54" i="11" s="1"/>
  <c r="L16" i="11"/>
  <c r="G17" i="11" s="1"/>
  <c r="L15" i="11"/>
  <c r="G16" i="11" s="1"/>
  <c r="L14" i="11"/>
  <c r="G15" i="11" s="1"/>
  <c r="L13" i="11"/>
  <c r="G14" i="11" s="1"/>
  <c r="L12" i="11"/>
  <c r="L11" i="11"/>
  <c r="G12" i="11" s="1"/>
  <c r="L10" i="11"/>
  <c r="G11" i="11" s="1"/>
  <c r="L9" i="11"/>
  <c r="G10" i="11" s="1"/>
  <c r="G9" i="11"/>
  <c r="L49" i="10"/>
  <c r="G55" i="10" s="1"/>
  <c r="L48" i="10"/>
  <c r="L47" i="10"/>
  <c r="L46" i="10"/>
  <c r="G49" i="10"/>
  <c r="L44" i="10"/>
  <c r="L43" i="10"/>
  <c r="G47" i="10" s="1"/>
  <c r="L42" i="10"/>
  <c r="G46" i="10" s="1"/>
  <c r="G45" i="10"/>
  <c r="L40" i="10"/>
  <c r="L38" i="10"/>
  <c r="G42" i="10" s="1"/>
  <c r="L36" i="10"/>
  <c r="G38" i="10" s="1"/>
  <c r="L35" i="10"/>
  <c r="G37" i="10" s="1"/>
  <c r="L34" i="10"/>
  <c r="G36" i="10" s="1"/>
  <c r="L33" i="10"/>
  <c r="L51" i="10"/>
  <c r="L28" i="10"/>
  <c r="L19" i="10"/>
  <c r="L18" i="10"/>
  <c r="G54" i="10" s="1"/>
  <c r="L16" i="10"/>
  <c r="G17" i="10" s="1"/>
  <c r="L15" i="10"/>
  <c r="G16" i="10" s="1"/>
  <c r="L14" i="10"/>
  <c r="G15" i="10" s="1"/>
  <c r="L13" i="10"/>
  <c r="G14" i="10" s="1"/>
  <c r="L12" i="10"/>
  <c r="G13" i="10" s="1"/>
  <c r="L11" i="10"/>
  <c r="G12" i="10" s="1"/>
  <c r="L10" i="10"/>
  <c r="G11" i="10" s="1"/>
  <c r="L9" i="10"/>
  <c r="G10" i="10" s="1"/>
  <c r="L49" i="9"/>
  <c r="G55" i="9" s="1"/>
  <c r="L47" i="9"/>
  <c r="L46" i="9"/>
  <c r="L45" i="9"/>
  <c r="G45" i="9"/>
  <c r="L40" i="9"/>
  <c r="G44" i="9" s="1"/>
  <c r="G43" i="9"/>
  <c r="G42" i="9"/>
  <c r="G41" i="9"/>
  <c r="L36" i="9"/>
  <c r="G38" i="9" s="1"/>
  <c r="G37" i="9"/>
  <c r="L34" i="9"/>
  <c r="L33" i="9"/>
  <c r="L30" i="9"/>
  <c r="L28" i="9"/>
  <c r="L19" i="9"/>
  <c r="G21" i="9" s="1"/>
  <c r="L18" i="9"/>
  <c r="L16" i="9"/>
  <c r="G17" i="9" s="1"/>
  <c r="L14" i="9"/>
  <c r="L13" i="9"/>
  <c r="G14" i="9" s="1"/>
  <c r="L12" i="9"/>
  <c r="G13" i="9" s="1"/>
  <c r="L11" i="9"/>
  <c r="G12" i="9" s="1"/>
  <c r="G11" i="9"/>
  <c r="L9" i="9"/>
  <c r="G10" i="9" s="1"/>
  <c r="G9" i="9"/>
  <c r="L49" i="8"/>
  <c r="G55" i="8" s="1"/>
  <c r="L48" i="8"/>
  <c r="L47" i="8"/>
  <c r="L46" i="8"/>
  <c r="L45" i="8"/>
  <c r="G49" i="8" s="1"/>
  <c r="G48" i="8"/>
  <c r="L42" i="8"/>
  <c r="G46" i="8" s="1"/>
  <c r="L41" i="8"/>
  <c r="L37" i="8"/>
  <c r="G41" i="8" s="1"/>
  <c r="L36" i="8"/>
  <c r="G38" i="8" s="1"/>
  <c r="L35" i="8"/>
  <c r="G37" i="8" s="1"/>
  <c r="L34" i="8"/>
  <c r="G36" i="8" s="1"/>
  <c r="L33" i="8"/>
  <c r="G35" i="8" s="1"/>
  <c r="L31" i="8"/>
  <c r="G31" i="17" s="1"/>
  <c r="L30" i="8"/>
  <c r="L19" i="8"/>
  <c r="G21" i="8" s="1"/>
  <c r="L18" i="8"/>
  <c r="L16" i="8"/>
  <c r="G17" i="8" s="1"/>
  <c r="L15" i="8"/>
  <c r="G16" i="8" s="1"/>
  <c r="L14" i="8"/>
  <c r="G15" i="8" s="1"/>
  <c r="L13" i="8"/>
  <c r="G14" i="8" s="1"/>
  <c r="L12" i="8"/>
  <c r="G13" i="8" s="1"/>
  <c r="L11" i="8"/>
  <c r="G12" i="8" s="1"/>
  <c r="L10" i="8"/>
  <c r="G11" i="8" s="1"/>
  <c r="L9" i="8"/>
  <c r="G10" i="8" s="1"/>
  <c r="G9" i="8"/>
  <c r="L50" i="7"/>
  <c r="G56" i="7" s="1"/>
  <c r="L49" i="7"/>
  <c r="G55" i="7" s="1"/>
  <c r="L48" i="7"/>
  <c r="L47" i="7"/>
  <c r="L46" i="7"/>
  <c r="L44" i="7"/>
  <c r="L42" i="7"/>
  <c r="L41" i="7"/>
  <c r="G45" i="7" s="1"/>
  <c r="L39" i="7"/>
  <c r="L38" i="7"/>
  <c r="L37" i="7"/>
  <c r="G39" i="7" s="1"/>
  <c r="L35" i="7"/>
  <c r="G37" i="7" s="1"/>
  <c r="L34" i="7"/>
  <c r="L31" i="7"/>
  <c r="G31" i="7" s="1"/>
  <c r="L29" i="7"/>
  <c r="L20" i="7"/>
  <c r="G22" i="7" s="1"/>
  <c r="L19" i="7"/>
  <c r="G21" i="7" s="1"/>
  <c r="L17" i="7"/>
  <c r="G18" i="7" s="1"/>
  <c r="L16" i="7"/>
  <c r="G17" i="7" s="1"/>
  <c r="L15" i="7"/>
  <c r="G16" i="7" s="1"/>
  <c r="L13" i="7"/>
  <c r="G15" i="7" s="1"/>
  <c r="L12" i="7"/>
  <c r="G13" i="7" s="1"/>
  <c r="G12" i="7"/>
  <c r="L10" i="7"/>
  <c r="G11" i="7" s="1"/>
  <c r="L9" i="7"/>
  <c r="G10" i="7" s="1"/>
  <c r="L49" i="6"/>
  <c r="G55" i="6" s="1"/>
  <c r="L48" i="6"/>
  <c r="G54" i="6" s="1"/>
  <c r="L47" i="6"/>
  <c r="L46" i="6"/>
  <c r="L45" i="6"/>
  <c r="G49" i="6"/>
  <c r="L44" i="6"/>
  <c r="G48" i="6" s="1"/>
  <c r="L43" i="6"/>
  <c r="L42" i="6"/>
  <c r="G46" i="6" s="1"/>
  <c r="L41" i="6"/>
  <c r="L40" i="6"/>
  <c r="L39" i="6"/>
  <c r="L38" i="6"/>
  <c r="L37" i="6"/>
  <c r="G41" i="6" s="1"/>
  <c r="L36" i="6"/>
  <c r="G38" i="6" s="1"/>
  <c r="L35" i="6"/>
  <c r="G37" i="6" s="1"/>
  <c r="L34" i="6"/>
  <c r="G36" i="6" s="1"/>
  <c r="L33" i="6"/>
  <c r="L32" i="6"/>
  <c r="L31" i="6"/>
  <c r="L30" i="6"/>
  <c r="L29" i="6"/>
  <c r="L28" i="6"/>
  <c r="L27" i="6"/>
  <c r="L19" i="6"/>
  <c r="G21" i="6" s="1"/>
  <c r="L18" i="6"/>
  <c r="G20" i="6" s="1"/>
  <c r="L16" i="6"/>
  <c r="G17" i="6" s="1"/>
  <c r="L15" i="6"/>
  <c r="G16" i="6" s="1"/>
  <c r="L14" i="6"/>
  <c r="G15" i="6" s="1"/>
  <c r="L13" i="6"/>
  <c r="L12" i="6"/>
  <c r="G13" i="6" s="1"/>
  <c r="L11" i="6"/>
  <c r="G12" i="6" s="1"/>
  <c r="L10" i="6"/>
  <c r="G11" i="6" s="1"/>
  <c r="L9" i="6"/>
  <c r="L50" i="5"/>
  <c r="G56" i="5" s="1"/>
  <c r="L49" i="5"/>
  <c r="G55" i="5" s="1"/>
  <c r="L48" i="5"/>
  <c r="L47" i="5"/>
  <c r="L46" i="5"/>
  <c r="L44" i="5"/>
  <c r="L43" i="5"/>
  <c r="G47" i="5" s="1"/>
  <c r="L42" i="5"/>
  <c r="G46" i="5" s="1"/>
  <c r="L41" i="5"/>
  <c r="G45" i="5" s="1"/>
  <c r="L39" i="5"/>
  <c r="L38" i="5"/>
  <c r="L37" i="5"/>
  <c r="G39" i="5" s="1"/>
  <c r="L36" i="5"/>
  <c r="G38" i="5" s="1"/>
  <c r="L35" i="5"/>
  <c r="G37" i="5" s="1"/>
  <c r="L34" i="5"/>
  <c r="G36" i="5" s="1"/>
  <c r="L31" i="5"/>
  <c r="G31" i="5" s="1"/>
  <c r="L29" i="5"/>
  <c r="L51" i="5" s="1"/>
  <c r="L20" i="5"/>
  <c r="L19" i="5"/>
  <c r="L17" i="5"/>
  <c r="G18" i="5" s="1"/>
  <c r="L16" i="5"/>
  <c r="G17" i="5" s="1"/>
  <c r="L15" i="5"/>
  <c r="L13" i="5"/>
  <c r="G14" i="5" s="1"/>
  <c r="L12" i="5"/>
  <c r="G13" i="5" s="1"/>
  <c r="L11" i="5"/>
  <c r="G12" i="5" s="1"/>
  <c r="L10" i="5"/>
  <c r="G11" i="5" s="1"/>
  <c r="L9" i="5"/>
  <c r="G10" i="5" s="1"/>
  <c r="L19" i="1"/>
  <c r="G21" i="1" s="1"/>
  <c r="L18" i="1"/>
  <c r="G20" i="1" s="1"/>
  <c r="L15" i="1"/>
  <c r="G16" i="1" s="1"/>
  <c r="L16" i="1"/>
  <c r="G17" i="1" s="1"/>
  <c r="L46" i="1"/>
  <c r="L47" i="1"/>
  <c r="L48" i="1"/>
  <c r="G54" i="1" s="1"/>
  <c r="L49" i="1"/>
  <c r="G55" i="1" s="1"/>
  <c r="L44" i="1"/>
  <c r="L30" i="1"/>
  <c r="G30" i="1" s="1"/>
  <c r="L33" i="1"/>
  <c r="G35" i="1" s="1"/>
  <c r="L34" i="1"/>
  <c r="G36" i="1" s="1"/>
  <c r="L35" i="1"/>
  <c r="G37" i="1" s="1"/>
  <c r="L36" i="1"/>
  <c r="G38" i="1" s="1"/>
  <c r="L37" i="1"/>
  <c r="L38" i="1"/>
  <c r="G42" i="1" s="1"/>
  <c r="L40" i="1"/>
  <c r="G44" i="1" s="1"/>
  <c r="L41" i="1"/>
  <c r="G45" i="1" s="1"/>
  <c r="L42" i="1"/>
  <c r="G46" i="1" s="1"/>
  <c r="L45" i="1"/>
  <c r="L14" i="1"/>
  <c r="G15" i="1" s="1"/>
  <c r="L29" i="1"/>
  <c r="L27" i="1"/>
  <c r="L10" i="1"/>
  <c r="G11" i="1" s="1"/>
  <c r="L13" i="1"/>
  <c r="G14" i="1" s="1"/>
  <c r="L12" i="1"/>
  <c r="G13" i="1" s="1"/>
  <c r="L11" i="1"/>
  <c r="G12" i="1" s="1"/>
  <c r="G10" i="1"/>
  <c r="G35" i="14"/>
  <c r="L20" i="10"/>
  <c r="G35" i="10"/>
  <c r="G35" i="9"/>
  <c r="G36" i="7"/>
  <c r="G22" i="5"/>
  <c r="G9" i="5"/>
  <c r="L20" i="8" l="1"/>
  <c r="G20" i="8"/>
  <c r="G54" i="8" s="1"/>
  <c r="L21" i="5"/>
  <c r="G17" i="17"/>
  <c r="L52" i="14"/>
  <c r="G13" i="17"/>
  <c r="H13" i="9"/>
  <c r="L51" i="14"/>
  <c r="G46" i="17"/>
  <c r="L51" i="6"/>
  <c r="L52" i="10"/>
  <c r="L20" i="1"/>
  <c r="G54" i="9"/>
  <c r="L48" i="9"/>
  <c r="G12" i="15"/>
  <c r="G12" i="17" s="1"/>
  <c r="L17" i="15"/>
  <c r="L53" i="5"/>
  <c r="G42" i="17"/>
  <c r="H33" i="17"/>
  <c r="G45" i="17"/>
  <c r="L18" i="5"/>
  <c r="L22" i="5" s="1"/>
  <c r="L54" i="5"/>
  <c r="L17" i="11"/>
  <c r="G21" i="5"/>
  <c r="G23" i="5" s="1"/>
  <c r="H23" i="5" s="1"/>
  <c r="L52" i="5"/>
  <c r="L21" i="7"/>
  <c r="G22" i="1"/>
  <c r="H22" i="1" s="1"/>
  <c r="G21" i="17"/>
  <c r="G23" i="7"/>
  <c r="H23" i="7" s="1"/>
  <c r="L51" i="13"/>
  <c r="G43" i="17"/>
  <c r="G22" i="6"/>
  <c r="H22" i="6" s="1"/>
  <c r="L20" i="11"/>
  <c r="H40" i="5"/>
  <c r="G40" i="5"/>
  <c r="H51" i="5"/>
  <c r="G51" i="5"/>
  <c r="G22" i="8"/>
  <c r="H22" i="8" s="1"/>
  <c r="G22" i="14"/>
  <c r="H22" i="14" s="1"/>
  <c r="G54" i="14" s="1"/>
  <c r="G22" i="15"/>
  <c r="H22" i="15" s="1"/>
  <c r="L20" i="6"/>
  <c r="G22" i="9"/>
  <c r="H22" i="9" s="1"/>
  <c r="L51" i="9"/>
  <c r="L51" i="11"/>
  <c r="G10" i="6"/>
  <c r="L17" i="6"/>
  <c r="L51" i="15"/>
  <c r="G41" i="15"/>
  <c r="L52" i="15"/>
  <c r="L50" i="15"/>
  <c r="G9" i="15"/>
  <c r="L20" i="15"/>
  <c r="L50" i="14"/>
  <c r="H39" i="14"/>
  <c r="G9" i="14"/>
  <c r="L17" i="14"/>
  <c r="L20" i="14"/>
  <c r="G36" i="13"/>
  <c r="H40" i="13" s="1"/>
  <c r="G23" i="13"/>
  <c r="H23" i="13" s="1"/>
  <c r="L20" i="13"/>
  <c r="G10" i="13"/>
  <c r="L17" i="13"/>
  <c r="G14" i="12"/>
  <c r="G18" i="12" s="1"/>
  <c r="L20" i="12"/>
  <c r="L17" i="12"/>
  <c r="H39" i="11"/>
  <c r="G39" i="11"/>
  <c r="L52" i="11"/>
  <c r="L53" i="11"/>
  <c r="G22" i="11"/>
  <c r="H22" i="11" s="1"/>
  <c r="G22" i="10"/>
  <c r="H22" i="10" s="1"/>
  <c r="G36" i="9"/>
  <c r="G39" i="9" s="1"/>
  <c r="L51" i="8"/>
  <c r="L52" i="7"/>
  <c r="G35" i="6"/>
  <c r="H39" i="6" s="1"/>
  <c r="L53" i="14"/>
  <c r="G14" i="14"/>
  <c r="L50" i="13"/>
  <c r="L20" i="9"/>
  <c r="L53" i="7"/>
  <c r="L53" i="6"/>
  <c r="L50" i="6"/>
  <c r="L52" i="6"/>
  <c r="L18" i="7"/>
  <c r="L22" i="7" s="1"/>
  <c r="H50" i="1"/>
  <c r="H39" i="15"/>
  <c r="G39" i="15"/>
  <c r="G39" i="14"/>
  <c r="L51" i="12"/>
  <c r="G50" i="10"/>
  <c r="H39" i="10"/>
  <c r="G39" i="8"/>
  <c r="H33" i="6"/>
  <c r="L51" i="1"/>
  <c r="H39" i="1"/>
  <c r="G39" i="1"/>
  <c r="L52" i="1"/>
  <c r="G50" i="1"/>
  <c r="L17" i="1"/>
  <c r="G18" i="1"/>
  <c r="H18" i="1"/>
  <c r="G53" i="1" s="1"/>
  <c r="G34" i="5"/>
  <c r="H34" i="5"/>
  <c r="L53" i="15"/>
  <c r="G33" i="1"/>
  <c r="H33" i="1"/>
  <c r="L53" i="1"/>
  <c r="L50" i="1"/>
  <c r="H33" i="15"/>
  <c r="G33" i="15"/>
  <c r="H33" i="14"/>
  <c r="G33" i="14"/>
  <c r="L53" i="13"/>
  <c r="H51" i="13"/>
  <c r="L52" i="13"/>
  <c r="G51" i="13"/>
  <c r="L50" i="12"/>
  <c r="L52" i="12"/>
  <c r="G33" i="12"/>
  <c r="H33" i="12"/>
  <c r="H33" i="11"/>
  <c r="G33" i="11"/>
  <c r="H18" i="11"/>
  <c r="G53" i="11" s="1"/>
  <c r="G18" i="11"/>
  <c r="L50" i="10"/>
  <c r="L17" i="10"/>
  <c r="L21" i="10" s="1"/>
  <c r="L53" i="10"/>
  <c r="G33" i="10"/>
  <c r="H33" i="10"/>
  <c r="L17" i="9"/>
  <c r="L50" i="9"/>
  <c r="L52" i="9"/>
  <c r="L53" i="9"/>
  <c r="H33" i="9"/>
  <c r="G33" i="9"/>
  <c r="L53" i="8"/>
  <c r="L50" i="8"/>
  <c r="L52" i="8"/>
  <c r="L17" i="8"/>
  <c r="L21" i="8" s="1"/>
  <c r="L54" i="7"/>
  <c r="H34" i="7"/>
  <c r="G34" i="7"/>
  <c r="L51" i="7"/>
  <c r="G51" i="7"/>
  <c r="G33" i="6"/>
  <c r="G50" i="6"/>
  <c r="H50" i="6"/>
  <c r="G19" i="7"/>
  <c r="H19" i="7"/>
  <c r="H40" i="7"/>
  <c r="G40" i="7"/>
  <c r="H51" i="7"/>
  <c r="G33" i="8"/>
  <c r="H33" i="8"/>
  <c r="H39" i="8"/>
  <c r="G50" i="8"/>
  <c r="H18" i="8"/>
  <c r="G18" i="8"/>
  <c r="H50" i="9"/>
  <c r="G50" i="9"/>
  <c r="H18" i="10"/>
  <c r="G18" i="10"/>
  <c r="G39" i="10"/>
  <c r="H50" i="10"/>
  <c r="G50" i="11"/>
  <c r="H50" i="11"/>
  <c r="G22" i="12"/>
  <c r="H22" i="12" s="1"/>
  <c r="G50" i="12"/>
  <c r="H50" i="12"/>
  <c r="H34" i="13"/>
  <c r="G34" i="13"/>
  <c r="H50" i="14"/>
  <c r="G50" i="14"/>
  <c r="G19" i="5"/>
  <c r="H19" i="5"/>
  <c r="H50" i="15"/>
  <c r="G50" i="15"/>
  <c r="H50" i="8" l="1"/>
  <c r="L21" i="1"/>
  <c r="G10" i="17"/>
  <c r="H18" i="12"/>
  <c r="G14" i="17"/>
  <c r="H23" i="9"/>
  <c r="H18" i="15"/>
  <c r="G18" i="15"/>
  <c r="G9" i="17"/>
  <c r="H52" i="7"/>
  <c r="G20" i="17"/>
  <c r="G55" i="17" s="1"/>
  <c r="G52" i="9"/>
  <c r="G53" i="9"/>
  <c r="G54" i="5"/>
  <c r="G53" i="5"/>
  <c r="L21" i="15"/>
  <c r="G40" i="13"/>
  <c r="G33" i="17"/>
  <c r="L21" i="11"/>
  <c r="H50" i="17"/>
  <c r="L21" i="6"/>
  <c r="G50" i="17"/>
  <c r="G18" i="6"/>
  <c r="L21" i="13"/>
  <c r="H18" i="6"/>
  <c r="G53" i="6" s="1"/>
  <c r="G52" i="12"/>
  <c r="L21" i="12"/>
  <c r="G16" i="13"/>
  <c r="G16" i="17" s="1"/>
  <c r="H39" i="9"/>
  <c r="G39" i="6"/>
  <c r="G15" i="14"/>
  <c r="L53" i="12"/>
  <c r="L21" i="14"/>
  <c r="L21" i="9"/>
  <c r="G52" i="1"/>
  <c r="G56" i="1" s="1"/>
  <c r="H23" i="1"/>
  <c r="H23" i="11"/>
  <c r="G52" i="11"/>
  <c r="G54" i="7"/>
  <c r="H24" i="7"/>
  <c r="G53" i="7"/>
  <c r="G52" i="8"/>
  <c r="H23" i="8"/>
  <c r="G53" i="8"/>
  <c r="G53" i="10"/>
  <c r="H23" i="10"/>
  <c r="G52" i="10"/>
  <c r="H24" i="5"/>
  <c r="G18" i="14" l="1"/>
  <c r="G15" i="17"/>
  <c r="H18" i="17" s="1"/>
  <c r="G22" i="17"/>
  <c r="H22" i="17" s="1"/>
  <c r="G56" i="9"/>
  <c r="H56" i="9"/>
  <c r="H57" i="9" s="1"/>
  <c r="H59" i="9" s="1"/>
  <c r="H23" i="6"/>
  <c r="G52" i="6"/>
  <c r="H56" i="6" s="1"/>
  <c r="H57" i="6" s="1"/>
  <c r="H19" i="13"/>
  <c r="G19" i="13"/>
  <c r="G53" i="12"/>
  <c r="H56" i="12" s="1"/>
  <c r="H23" i="12"/>
  <c r="H18" i="14"/>
  <c r="H56" i="1"/>
  <c r="H57" i="1" s="1"/>
  <c r="H59" i="1" s="1"/>
  <c r="G56" i="11"/>
  <c r="H56" i="11"/>
  <c r="H57" i="11" s="1"/>
  <c r="H59" i="11" s="1"/>
  <c r="G57" i="7"/>
  <c r="H57" i="7"/>
  <c r="H58" i="7" s="1"/>
  <c r="H60" i="7" s="1"/>
  <c r="H56" i="8"/>
  <c r="H57" i="8" s="1"/>
  <c r="H59" i="8" s="1"/>
  <c r="G56" i="8"/>
  <c r="G56" i="10"/>
  <c r="H56" i="10"/>
  <c r="H57" i="10" s="1"/>
  <c r="H59" i="10" s="1"/>
  <c r="G57" i="5"/>
  <c r="H57" i="5"/>
  <c r="H58" i="5" s="1"/>
  <c r="H60" i="5" s="1"/>
  <c r="G18" i="17" l="1"/>
  <c r="G52" i="17" s="1"/>
  <c r="G56" i="6"/>
  <c r="G56" i="12"/>
  <c r="G53" i="17"/>
  <c r="H23" i="17"/>
  <c r="H59" i="6"/>
  <c r="G53" i="14"/>
  <c r="H23" i="14"/>
  <c r="G53" i="13"/>
  <c r="G54" i="13"/>
  <c r="H24" i="13"/>
  <c r="G52" i="14"/>
  <c r="H57" i="12"/>
  <c r="H59" i="12" s="1"/>
  <c r="H56" i="17" l="1"/>
  <c r="H57" i="17" s="1"/>
  <c r="H59" i="17" s="1"/>
  <c r="H61" i="17" s="1"/>
  <c r="G56" i="17"/>
  <c r="G56" i="14"/>
  <c r="G57" i="13"/>
  <c r="H57" i="13"/>
  <c r="H58" i="13" s="1"/>
  <c r="H60" i="13" s="1"/>
  <c r="H56" i="14"/>
  <c r="H57" i="14" s="1"/>
  <c r="H59" i="14" s="1"/>
  <c r="G52" i="15" l="1"/>
  <c r="G53" i="15"/>
  <c r="H23" i="15"/>
  <c r="H56" i="15" l="1"/>
  <c r="H57" i="15" s="1"/>
  <c r="H59" i="15" s="1"/>
  <c r="G56" i="15"/>
  <c r="H61" i="6"/>
  <c r="H61" i="7" s="1"/>
  <c r="H62" i="7" s="1"/>
  <c r="H60" i="8" l="1"/>
  <c r="H61" i="8" s="1"/>
  <c r="H60" i="9" s="1"/>
  <c r="H61" i="9" s="1"/>
  <c r="H60" i="10" s="1"/>
  <c r="H61" i="10" s="1"/>
  <c r="H60" i="11" s="1"/>
  <c r="H61" i="11" s="1"/>
  <c r="H60" i="12" s="1"/>
  <c r="H61" i="12" s="1"/>
  <c r="H61" i="13" s="1"/>
  <c r="H62" i="13" s="1"/>
  <c r="H60" i="14" s="1"/>
  <c r="H61" i="14" s="1"/>
  <c r="H60" i="15" s="1"/>
  <c r="H61" i="15" s="1"/>
  <c r="H60" i="1" s="1"/>
  <c r="H61" i="1" s="1"/>
  <c r="H61" i="5" s="1"/>
  <c r="H62" i="5" s="1"/>
</calcChain>
</file>

<file path=xl/sharedStrings.xml><?xml version="1.0" encoding="utf-8"?>
<sst xmlns="http://schemas.openxmlformats.org/spreadsheetml/2006/main" count="2120" uniqueCount="289">
  <si>
    <t xml:space="preserve">                                                                                                                                                    $</t>
  </si>
  <si>
    <t>DIOCESIS DE MORON</t>
  </si>
  <si>
    <t>BALANCE DEL MES DE:</t>
  </si>
  <si>
    <t xml:space="preserve"> 1. ORDINARIOS</t>
  </si>
  <si>
    <t>Saldo del mes anterior</t>
  </si>
  <si>
    <t>CAPILLA:</t>
  </si>
  <si>
    <t xml:space="preserve"> INGRESOS</t>
  </si>
  <si>
    <t xml:space="preserve">     a) Amigos de la parroquia</t>
  </si>
  <si>
    <t xml:space="preserve">     b) Colectas en misas       </t>
  </si>
  <si>
    <t xml:space="preserve">     c) Alcancias  </t>
  </si>
  <si>
    <t xml:space="preserve">     d) Ofrendas por sacramentos: - Bautismos       </t>
  </si>
  <si>
    <t>1 Sub-total 1</t>
  </si>
  <si>
    <t xml:space="preserve">     e) Recaudación para construcciones (rifas, locros, donaciones, etc.)</t>
  </si>
  <si>
    <t xml:space="preserve">         *</t>
  </si>
  <si>
    <t xml:space="preserve">     f ) Aporte capillas a la Parroquia        </t>
  </si>
  <si>
    <t>1 Sub-total 2</t>
  </si>
  <si>
    <t xml:space="preserve">     g) Colecta imperada del ...../...../..... para ................................</t>
  </si>
  <si>
    <t xml:space="preserve">     h) Colecta imperada del ...../...../..... para ................................</t>
  </si>
  <si>
    <t>1 Sub-total 3</t>
  </si>
  <si>
    <t>EGRESOS</t>
  </si>
  <si>
    <t>b) Vicario(s)</t>
  </si>
  <si>
    <t>c) Diácono</t>
  </si>
  <si>
    <t xml:space="preserve">e) Personal de secretaría, limpieza, mantenimiento, etc.        </t>
  </si>
  <si>
    <t>Sub-total 1 (a+b+c+d+e+f)</t>
  </si>
  <si>
    <t xml:space="preserve">     *Servicios públicos:</t>
  </si>
  <si>
    <t>a) Párroco</t>
  </si>
  <si>
    <t xml:space="preserve">     *Asignaciones:</t>
  </si>
  <si>
    <t xml:space="preserve">g) Electricidad     </t>
  </si>
  <si>
    <t xml:space="preserve">h) Gas (natural o garrafas)    </t>
  </si>
  <si>
    <t xml:space="preserve">m) Liturgia (flores, cantorales, hostias, lavado manteles, etc)- </t>
  </si>
  <si>
    <t xml:space="preserve">      </t>
  </si>
  <si>
    <t xml:space="preserve">Sub-total 2 (g+h+i+j) </t>
  </si>
  <si>
    <t xml:space="preserve">     *Varios:</t>
  </si>
  <si>
    <t xml:space="preserve">k) Limpieza y mantenimiento (materiales)    </t>
  </si>
  <si>
    <t xml:space="preserve">j) Aguas Argentinas     </t>
  </si>
  <si>
    <t xml:space="preserve">l) Secretaría (papelería, gastos bancarios, correo, etc.)    </t>
  </si>
  <si>
    <t xml:space="preserve">n) Vivienda sacerdotes (comida, etc.) </t>
  </si>
  <si>
    <t>o) Construcciones y mejoras edilicias (material y mano de obra)</t>
  </si>
  <si>
    <t xml:space="preserve">p) Varios evangelización (catequesis, cursos, biblias, etc.)  </t>
  </si>
  <si>
    <t xml:space="preserve">     *</t>
  </si>
  <si>
    <t>Sub-total 3 (k+l+m+n+o+p+q)</t>
  </si>
  <si>
    <t xml:space="preserve">     *Aportes diocesanos y extradiocesanos</t>
  </si>
  <si>
    <t xml:space="preserve">r) Para el Obispado: 5 % del sub-total 1 de Ingresos   </t>
  </si>
  <si>
    <t>t) Colecta imperada del ...../...../..... para ................................</t>
  </si>
  <si>
    <t xml:space="preserve">   Total Egresos ( 1+ 2+ 3+ 4):</t>
  </si>
  <si>
    <t>1 Sub-total 4</t>
  </si>
  <si>
    <t>Saldo del mes (ingresos menos egresos)</t>
  </si>
  <si>
    <t>Saldo Final al cierre de este mes</t>
  </si>
  <si>
    <t>(+)  (-)</t>
  </si>
  <si>
    <t>PARROQUIA:</t>
  </si>
  <si>
    <t>LOCALIDAD :</t>
  </si>
  <si>
    <t xml:space="preserve"> 2. COLECTAS DIOCESANAS 0 EXTRADIOCESANAS</t>
  </si>
  <si>
    <t xml:space="preserve">   Total ingresos ( 1+ 2):</t>
  </si>
  <si>
    <t xml:space="preserve">Sub-total 1 (a+b+c+d+e+f) </t>
  </si>
  <si>
    <t>Sub-total 2 (g+h)</t>
  </si>
  <si>
    <t xml:space="preserve">f) Cargas sociales (sacerdotes y laicos) </t>
  </si>
  <si>
    <t xml:space="preserve">i) Teléfono, internet y cable   </t>
  </si>
  <si>
    <t>u) Colecta imperada del ...../...../..... para ................................</t>
  </si>
  <si>
    <t xml:space="preserve">s) Fondo de Remuneración: 5 % del sub-total 1 de Ingresos   </t>
  </si>
  <si>
    <t xml:space="preserve">Sub-total 4 (r+s+t+u) </t>
  </si>
  <si>
    <t>INGRESOS</t>
  </si>
  <si>
    <t>Subtotales</t>
  </si>
  <si>
    <t>CASTELAR</t>
  </si>
  <si>
    <t>Recaudación para construcciones</t>
  </si>
  <si>
    <t>NOVIEMBRE</t>
  </si>
  <si>
    <t>Otros</t>
  </si>
  <si>
    <t>TOTAL</t>
  </si>
  <si>
    <t>sab</t>
  </si>
  <si>
    <t>dom</t>
  </si>
  <si>
    <t>Párroco</t>
  </si>
  <si>
    <t>Diácono</t>
  </si>
  <si>
    <t xml:space="preserve">                                                 - Matrimonios               </t>
  </si>
  <si>
    <t>Vicario</t>
  </si>
  <si>
    <t>Personal de secretaría, limpieza, mantenimiento</t>
  </si>
  <si>
    <t>Cargas sociales (sacerdotes y laicos)</t>
  </si>
  <si>
    <t>Electricidad</t>
  </si>
  <si>
    <t>Gas</t>
  </si>
  <si>
    <t>Teléfono, internet, cable</t>
  </si>
  <si>
    <t>Aguas Argentinas</t>
  </si>
  <si>
    <t>Limpieza y  mantenimiento (materiales)</t>
  </si>
  <si>
    <t>b</t>
  </si>
  <si>
    <t>c</t>
  </si>
  <si>
    <t>d</t>
  </si>
  <si>
    <t>a</t>
  </si>
  <si>
    <t>e</t>
  </si>
  <si>
    <t>f</t>
  </si>
  <si>
    <t>g</t>
  </si>
  <si>
    <t>h</t>
  </si>
  <si>
    <t>i</t>
  </si>
  <si>
    <t>j</t>
  </si>
  <si>
    <t>k</t>
  </si>
  <si>
    <t>l</t>
  </si>
  <si>
    <t>Secretaría (papelería, gastos bancarios, correo, etc)</t>
  </si>
  <si>
    <t>m</t>
  </si>
  <si>
    <t>Liturgia</t>
  </si>
  <si>
    <t>Vivienda sacerdote</t>
  </si>
  <si>
    <t>Construcciones y mejoras edilicias</t>
  </si>
  <si>
    <t>Varios evangelización (catequesis, cursos, biblias)</t>
  </si>
  <si>
    <t>n</t>
  </si>
  <si>
    <t>o</t>
  </si>
  <si>
    <t>p</t>
  </si>
  <si>
    <t>Amigos de la parroquia</t>
  </si>
  <si>
    <t>Colectas en misas</t>
  </si>
  <si>
    <t>Alcancías</t>
  </si>
  <si>
    <t>Ofrendas matrimonios</t>
  </si>
  <si>
    <t>Ofrendas bautismo</t>
  </si>
  <si>
    <t>Aporte capillas a la Parroquia</t>
  </si>
  <si>
    <t>d1</t>
  </si>
  <si>
    <t>d2</t>
  </si>
  <si>
    <t>q2</t>
  </si>
  <si>
    <t>q3</t>
  </si>
  <si>
    <t>q1</t>
  </si>
  <si>
    <t>r</t>
  </si>
  <si>
    <t>s</t>
  </si>
  <si>
    <t>t</t>
  </si>
  <si>
    <t>u</t>
  </si>
  <si>
    <t>aportes obispado 5%</t>
  </si>
  <si>
    <t>Fondo remunerativo 5 %</t>
  </si>
  <si>
    <t>Colecta imperada</t>
  </si>
  <si>
    <t>e1</t>
  </si>
  <si>
    <t>e2</t>
  </si>
  <si>
    <t>e3</t>
  </si>
  <si>
    <t>Recaudación rifas</t>
  </si>
  <si>
    <t>Recaudación locros</t>
  </si>
  <si>
    <t>SUBTOTAL a+b+c+d+e+f</t>
  </si>
  <si>
    <t>SUBTOTAL g+h+i+j</t>
  </si>
  <si>
    <t>SUBTOTAL k+l+m+n+o+p+q</t>
  </si>
  <si>
    <t>AÑO:</t>
  </si>
  <si>
    <t>SUBTOTAL g+h</t>
  </si>
  <si>
    <t>q) Otros: (detallar) donaciones</t>
  </si>
  <si>
    <t>DICIEMBRE</t>
  </si>
  <si>
    <t>MARZO</t>
  </si>
  <si>
    <t>FEBRERO</t>
  </si>
  <si>
    <t>ENERO</t>
  </si>
  <si>
    <t>ABRIL</t>
  </si>
  <si>
    <t>MAYO</t>
  </si>
  <si>
    <t>JUNIO</t>
  </si>
  <si>
    <t>JULIO</t>
  </si>
  <si>
    <t>AGOSTO</t>
  </si>
  <si>
    <t>SEPTIEMBRE</t>
  </si>
  <si>
    <t>OCTUBRE</t>
  </si>
  <si>
    <t>Otros - Hogar</t>
  </si>
  <si>
    <t xml:space="preserve">     g) Colecta imperada del ...../...../..... para CARITAS</t>
  </si>
  <si>
    <t>Colecta imperada DIOCESANA</t>
  </si>
  <si>
    <t>Colecta imperada PARROQUIAL</t>
  </si>
  <si>
    <t>t) Colecta imperada del ...../...../..... para  PARROQUIAL</t>
  </si>
  <si>
    <t>u) Colecta imperada del ...../...../..... para CARITAS DIOCESANA</t>
  </si>
  <si>
    <t>lun</t>
  </si>
  <si>
    <t>d) Sacristán</t>
  </si>
  <si>
    <t>Sacristán</t>
  </si>
  <si>
    <t>Otros-Casa Parroquial</t>
  </si>
  <si>
    <t xml:space="preserve">Construcciones y mejoras edilicias </t>
  </si>
  <si>
    <t>q2) Hogar</t>
  </si>
  <si>
    <t>q1) Otros: (detallar) donaciones</t>
  </si>
  <si>
    <t>Cinerario</t>
  </si>
  <si>
    <t xml:space="preserve">     e) Recaudación para construcciones (cinerario)</t>
  </si>
  <si>
    <t>Recaudación para construcciones cinerario</t>
  </si>
  <si>
    <t>Diácono Juan</t>
  </si>
  <si>
    <t>Diácono-Juan</t>
  </si>
  <si>
    <t xml:space="preserve">         *Total recaudación cinerario</t>
  </si>
  <si>
    <t>Vivienda sacerdote-limpieza</t>
  </si>
  <si>
    <t>c) Diácono (seminarista)</t>
  </si>
  <si>
    <t>Diácono-Seminarista Juan</t>
  </si>
  <si>
    <t>mar</t>
  </si>
  <si>
    <t>SANTA MAGDALENA SOFÍA BARAT</t>
  </si>
  <si>
    <t>Otros-Micro Lujan</t>
  </si>
  <si>
    <t>Liturgia (San Pablo - Flores)</t>
  </si>
  <si>
    <t>Colecta imperada  CARITAS</t>
  </si>
  <si>
    <t>Colecta imperada CALDIM</t>
  </si>
  <si>
    <t xml:space="preserve"> CALDIM</t>
  </si>
  <si>
    <t>Sab</t>
  </si>
  <si>
    <t>Otros - viaje san nicolas</t>
  </si>
  <si>
    <t>flores</t>
  </si>
  <si>
    <t>ACUMULADA</t>
  </si>
  <si>
    <t xml:space="preserve">  </t>
  </si>
  <si>
    <t>q) Otros: (detallar) Imágenes</t>
  </si>
  <si>
    <t>CARPINTERO - MANTELES</t>
  </si>
  <si>
    <t>LIMPIEZA</t>
  </si>
  <si>
    <t xml:space="preserve">     g) Colecta imperada del ……………….... para Tierra Santa................................</t>
  </si>
  <si>
    <t>velas</t>
  </si>
  <si>
    <t>secretaria</t>
  </si>
  <si>
    <t>limpieza</t>
  </si>
  <si>
    <t>Recaudación roscas</t>
  </si>
  <si>
    <t xml:space="preserve">Sagrario U$S </t>
  </si>
  <si>
    <t>Roscas Pascuas hogares (remanente)</t>
  </si>
  <si>
    <t>t) Colecta imperada  para la DIOCESIS de MORON</t>
  </si>
  <si>
    <t>t) Colecta imperada del ...../...../..... para CARITAS</t>
  </si>
  <si>
    <t xml:space="preserve">u) Colecta imperada del ...../...../..... </t>
  </si>
  <si>
    <t>SAB</t>
  </si>
  <si>
    <t>*</t>
  </si>
  <si>
    <t>Flores</t>
  </si>
  <si>
    <t>k) Flores</t>
  </si>
  <si>
    <t>Estipendios</t>
  </si>
  <si>
    <t>d) Estipendios</t>
  </si>
  <si>
    <t>perigrinacion lujan</t>
  </si>
  <si>
    <t>luces templo</t>
  </si>
  <si>
    <t>c) Estipendios</t>
  </si>
  <si>
    <t>Flores, velones liturgicos, ornamentos, misal y calendarios liturgicos</t>
  </si>
  <si>
    <t>secretaria - limpieza extraordinaria-limpieza normal</t>
  </si>
  <si>
    <t>b) Estipendios</t>
  </si>
  <si>
    <t xml:space="preserve"> </t>
  </si>
  <si>
    <t>cuota 2/12</t>
  </si>
  <si>
    <t xml:space="preserve">         </t>
  </si>
  <si>
    <t xml:space="preserve">     c) Alcancias-Eventos </t>
  </si>
  <si>
    <t>Comedores</t>
  </si>
  <si>
    <t>q) Otros: (detallar) Comedores</t>
  </si>
  <si>
    <t xml:space="preserve">     a) Amigos de la parroquia - Transferencias</t>
  </si>
  <si>
    <t xml:space="preserve"> - Cinerario</t>
  </si>
  <si>
    <t>COMEDORES</t>
  </si>
  <si>
    <t>MICROFONO</t>
  </si>
  <si>
    <t>Colectas por transferencias</t>
  </si>
  <si>
    <t xml:space="preserve">     a) Colectas por transferencias</t>
  </si>
  <si>
    <t xml:space="preserve">     c) Cinerario  </t>
  </si>
  <si>
    <t>DOM</t>
  </si>
  <si>
    <t>Transferencias</t>
  </si>
  <si>
    <t xml:space="preserve">     a) Transferencias</t>
  </si>
  <si>
    <t xml:space="preserve">     c) Cinerario</t>
  </si>
  <si>
    <t>camara</t>
  </si>
  <si>
    <t>celular</t>
  </si>
  <si>
    <t xml:space="preserve">     g) Colecta imperada </t>
  </si>
  <si>
    <t xml:space="preserve">     h) Recaudacion especial </t>
  </si>
  <si>
    <t>you tube</t>
  </si>
  <si>
    <t>comedores</t>
  </si>
  <si>
    <t>casa parroquial</t>
  </si>
  <si>
    <t xml:space="preserve">you tube </t>
  </si>
  <si>
    <t xml:space="preserve">limpieza </t>
  </si>
  <si>
    <t xml:space="preserve">     c) Transferencias</t>
  </si>
  <si>
    <t xml:space="preserve">                                                 - Cinerario</t>
  </si>
  <si>
    <t>q) Otros: Equipo de audio</t>
  </si>
  <si>
    <t>Recupero Gasto biblias</t>
  </si>
  <si>
    <t xml:space="preserve">     g) Colecta imperada del 19/09/2021  para MAS POR MENOS</t>
  </si>
  <si>
    <t>t) Colecta imperada del 19/09/2021 para MAS POR MENOS</t>
  </si>
  <si>
    <t>biblia</t>
  </si>
  <si>
    <t xml:space="preserve">q) Otros: (detallar) </t>
  </si>
  <si>
    <t>9000 flores + 5280 + 7000</t>
  </si>
  <si>
    <t>Recupero gasto Biblias</t>
  </si>
  <si>
    <t>d3</t>
  </si>
  <si>
    <t>Matrimonio</t>
  </si>
  <si>
    <t xml:space="preserve">q) Otros: </t>
  </si>
  <si>
    <t>6200+4700</t>
  </si>
  <si>
    <t>Ofrendas cinerario</t>
  </si>
  <si>
    <t xml:space="preserve">     c) </t>
  </si>
  <si>
    <t xml:space="preserve">      - Cinerario</t>
  </si>
  <si>
    <t>sonido</t>
  </si>
  <si>
    <t>luces</t>
  </si>
  <si>
    <t xml:space="preserve">                                   Cinerario</t>
  </si>
  <si>
    <t>q) Otros: (detallar) comedores</t>
  </si>
  <si>
    <t>sonido microfonos you tube</t>
  </si>
  <si>
    <t>q2) camara</t>
  </si>
  <si>
    <t>restaur virgen</t>
  </si>
  <si>
    <t>luces, etc</t>
  </si>
  <si>
    <t>d) Diacono</t>
  </si>
  <si>
    <t>CALDIM</t>
  </si>
  <si>
    <t>n) Otros - varios</t>
  </si>
  <si>
    <t>SA</t>
  </si>
  <si>
    <t>DO</t>
  </si>
  <si>
    <t>i) Teléfono, internet y cable   streaming audio</t>
  </si>
  <si>
    <t>Diacono</t>
  </si>
  <si>
    <t>me</t>
  </si>
  <si>
    <t>c) Diacono</t>
  </si>
  <si>
    <t>sa</t>
  </si>
  <si>
    <t>ma</t>
  </si>
  <si>
    <t>vinos 12800 - san pablo 5550- Flores 8700</t>
  </si>
  <si>
    <t xml:space="preserve">   Comedores</t>
  </si>
  <si>
    <t>Colecta imperada mas por menos</t>
  </si>
  <si>
    <t>q) Otros: (detallar) donaciones Ayuda San Pedro</t>
  </si>
  <si>
    <t xml:space="preserve">     e) Cinerario</t>
  </si>
  <si>
    <t>difuntos</t>
  </si>
  <si>
    <t>Cena de los pobres</t>
  </si>
  <si>
    <t>compra microfonos</t>
  </si>
  <si>
    <t xml:space="preserve">30000 secretaria </t>
  </si>
  <si>
    <t>30000 oscar</t>
  </si>
  <si>
    <t>30000 larry</t>
  </si>
  <si>
    <t>flores 30000</t>
  </si>
  <si>
    <t>San Pablo</t>
  </si>
  <si>
    <t>mie ceniz</t>
  </si>
  <si>
    <t>30000 secretaria - 30000 limpieza</t>
  </si>
  <si>
    <t>8800 flores - 12210 hojita -15670 teca - 23220 vino</t>
  </si>
  <si>
    <t>nuevo testamento</t>
  </si>
  <si>
    <t>cereria</t>
  </si>
  <si>
    <t>cirio pascual</t>
  </si>
  <si>
    <t>alquiler sonido e imagen</t>
  </si>
  <si>
    <t xml:space="preserve">     * Misa crismal</t>
  </si>
  <si>
    <t>colaboracion misa crismal</t>
  </si>
  <si>
    <t xml:space="preserve">     g) Colecta imperada del 07/04/2023 para Tierra Santa</t>
  </si>
  <si>
    <t>t) Colecta imperada del 07/04/2023 para Tierra Santa</t>
  </si>
  <si>
    <t xml:space="preserve">     * Comedores</t>
  </si>
  <si>
    <t>Flores . 6000+6400+10000</t>
  </si>
  <si>
    <t>hojita 13270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</si>
</sst>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164" formatCode="_-&quot;$&quot;\ * #,##0.00_-;\-&quot;$&quot;\ * #,##0.00_-;_-&quot;$&quot;\ * &quot;-&quot;??_-;_-@_-"/>
    <numFmt numFmtId="165" formatCode="_ [$$-2C0A]\ * #,##0.00_ ;_ [$$-2C0A]\ * \-#,##0.00_ ;_ [$$-2C0A]\ * &quot;-&quot;??_ ;_ @_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theme="9" tint="-0.249977111117893"/>
      <name val="Arial"/>
      <family val="2"/>
    </font>
    <font>
      <i/>
      <sz val="10"/>
      <name val="Arial"/>
      <family val="2"/>
    </font>
    <font>
      <i/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44" fontId="0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2" xfId="0" applyFont="1" applyBorder="1" applyAlignment="1">
      <alignment horizontal="right"/>
    </xf>
    <xf numFmtId="44" fontId="0" fillId="0" borderId="7" xfId="1" applyFont="1" applyBorder="1"/>
    <xf numFmtId="0" fontId="0" fillId="0" borderId="0" xfId="0" applyBorder="1" applyAlignment="1">
      <alignment horizontal="left"/>
    </xf>
    <xf numFmtId="0" fontId="7" fillId="0" borderId="0" xfId="0" applyFont="1" applyAlignment="1">
      <alignment horizontal="left"/>
    </xf>
    <xf numFmtId="44" fontId="0" fillId="0" borderId="8" xfId="1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44" fontId="0" fillId="0" borderId="9" xfId="1" applyFont="1" applyBorder="1"/>
    <xf numFmtId="0" fontId="2" fillId="2" borderId="3" xfId="0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0" xfId="0" applyFont="1"/>
    <xf numFmtId="165" fontId="8" fillId="4" borderId="0" xfId="0" applyNumberFormat="1" applyFont="1" applyFill="1"/>
    <xf numFmtId="165" fontId="9" fillId="0" borderId="0" xfId="0" applyNumberFormat="1" applyFont="1"/>
    <xf numFmtId="0" fontId="8" fillId="3" borderId="0" xfId="0" applyFont="1" applyFill="1"/>
    <xf numFmtId="165" fontId="8" fillId="3" borderId="0" xfId="0" applyNumberFormat="1" applyFont="1" applyFill="1"/>
    <xf numFmtId="0" fontId="8" fillId="6" borderId="0" xfId="0" applyFont="1" applyFill="1" applyAlignment="1">
      <alignment horizontal="center"/>
    </xf>
    <xf numFmtId="0" fontId="8" fillId="6" borderId="0" xfId="0" applyFont="1" applyFill="1"/>
    <xf numFmtId="165" fontId="8" fillId="6" borderId="0" xfId="0" applyNumberFormat="1" applyFont="1" applyFill="1"/>
    <xf numFmtId="0" fontId="8" fillId="0" borderId="2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11" fillId="5" borderId="10" xfId="0" applyFont="1" applyFill="1" applyBorder="1"/>
    <xf numFmtId="0" fontId="0" fillId="5" borderId="11" xfId="0" applyFill="1" applyBorder="1"/>
    <xf numFmtId="0" fontId="2" fillId="0" borderId="3" xfId="0" applyFont="1" applyBorder="1"/>
    <xf numFmtId="0" fontId="10" fillId="0" borderId="1" xfId="0" applyFont="1" applyBorder="1"/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65" fontId="8" fillId="4" borderId="0" xfId="0" applyNumberFormat="1" applyFont="1" applyFill="1"/>
    <xf numFmtId="0" fontId="8" fillId="3" borderId="0" xfId="0" applyFont="1" applyFill="1"/>
    <xf numFmtId="165" fontId="8" fillId="3" borderId="0" xfId="0" applyNumberFormat="1" applyFont="1" applyFill="1"/>
    <xf numFmtId="0" fontId="8" fillId="6" borderId="0" xfId="0" applyFont="1" applyFill="1" applyAlignment="1">
      <alignment horizontal="center"/>
    </xf>
    <xf numFmtId="0" fontId="8" fillId="6" borderId="0" xfId="0" applyFont="1" applyFill="1"/>
    <xf numFmtId="165" fontId="8" fillId="6" borderId="0" xfId="0" applyNumberFormat="1" applyFont="1" applyFill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44" fontId="0" fillId="0" borderId="0" xfId="0" applyNumberFormat="1"/>
    <xf numFmtId="0" fontId="14" fillId="0" borderId="1" xfId="0" applyFont="1" applyBorder="1" applyAlignment="1">
      <alignment horizontal="left"/>
    </xf>
    <xf numFmtId="0" fontId="14" fillId="0" borderId="2" xfId="0" applyFont="1" applyBorder="1"/>
    <xf numFmtId="0" fontId="14" fillId="0" borderId="3" xfId="0" applyFont="1" applyBorder="1"/>
    <xf numFmtId="0" fontId="14" fillId="0" borderId="0" xfId="0" applyFont="1"/>
    <xf numFmtId="0" fontId="14" fillId="0" borderId="1" xfId="0" applyFont="1" applyBorder="1"/>
    <xf numFmtId="44" fontId="14" fillId="0" borderId="4" xfId="1" applyFont="1" applyBorder="1"/>
    <xf numFmtId="0" fontId="15" fillId="0" borderId="0" xfId="0" applyFont="1" applyAlignment="1">
      <alignment horizontal="center"/>
    </xf>
    <xf numFmtId="0" fontId="14" fillId="0" borderId="3" xfId="0" applyFont="1" applyBorder="1" applyAlignment="1">
      <alignment horizontal="right"/>
    </xf>
    <xf numFmtId="0" fontId="8" fillId="0" borderId="0" xfId="0" applyFont="1" applyFill="1"/>
    <xf numFmtId="0" fontId="1" fillId="0" borderId="0" xfId="0" applyFont="1" applyFill="1"/>
    <xf numFmtId="0" fontId="0" fillId="0" borderId="0" xfId="0" applyFill="1"/>
    <xf numFmtId="0" fontId="10" fillId="0" borderId="0" xfId="0" applyFont="1" applyFill="1"/>
    <xf numFmtId="165" fontId="9" fillId="0" borderId="0" xfId="0" applyNumberFormat="1" applyFont="1" applyFill="1"/>
    <xf numFmtId="165" fontId="0" fillId="0" borderId="0" xfId="0" applyNumberFormat="1" applyFill="1"/>
    <xf numFmtId="0" fontId="2" fillId="0" borderId="0" xfId="0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4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" fontId="8" fillId="5" borderId="0" xfId="0" applyNumberFormat="1" applyFont="1" applyFill="1" applyAlignment="1">
      <alignment horizontal="center"/>
    </xf>
    <xf numFmtId="0" fontId="2" fillId="7" borderId="3" xfId="0" applyFont="1" applyFill="1" applyBorder="1"/>
    <xf numFmtId="44" fontId="0" fillId="0" borderId="4" xfId="1" applyFont="1" applyFill="1" applyBorder="1"/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0" fillId="0" borderId="0" xfId="0" applyNumberFormat="1"/>
    <xf numFmtId="165" fontId="8" fillId="0" borderId="0" xfId="0" applyNumberFormat="1" applyFont="1" applyFill="1"/>
    <xf numFmtId="4" fontId="0" fillId="0" borderId="0" xfId="0" applyNumberFormat="1"/>
    <xf numFmtId="4" fontId="0" fillId="0" borderId="4" xfId="1" applyNumberFormat="1" applyFont="1" applyBorder="1"/>
    <xf numFmtId="44" fontId="0" fillId="0" borderId="3" xfId="1" applyFont="1" applyBorder="1"/>
    <xf numFmtId="0" fontId="0" fillId="0" borderId="12" xfId="0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62"/>
  <sheetViews>
    <sheetView topLeftCell="E46" zoomScale="80" zoomScaleNormal="80" workbookViewId="0">
      <selection activeCell="H61" sqref="H61"/>
    </sheetView>
  </sheetViews>
  <sheetFormatPr baseColWidth="10" defaultRowHeight="12.75" x14ac:dyDescent="0.2"/>
  <cols>
    <col min="1" max="6" width="12.140625" customWidth="1"/>
    <col min="7" max="7" width="14.140625" customWidth="1"/>
    <col min="8" max="8" width="14.7109375" customWidth="1"/>
    <col min="9" max="9" width="4.5703125" customWidth="1"/>
    <col min="10" max="10" width="2.5703125" customWidth="1"/>
    <col min="11" max="11" width="61.85546875" customWidth="1"/>
    <col min="12" max="12" width="17.85546875" bestFit="1" customWidth="1"/>
    <col min="13" max="13" width="13.5703125" customWidth="1"/>
    <col min="14" max="28" width="11.42578125" customWidth="1"/>
  </cols>
  <sheetData>
    <row r="1" spans="1:21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1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1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2023</v>
      </c>
    </row>
    <row r="4" spans="1:21" ht="10.5" customHeight="1" thickBot="1" x14ac:dyDescent="0.25">
      <c r="A4" s="1"/>
    </row>
    <row r="5" spans="1:21" ht="21.75" thickTop="1" thickBot="1" x14ac:dyDescent="0.35">
      <c r="C5" s="18" t="s">
        <v>2</v>
      </c>
      <c r="F5" s="42" t="s">
        <v>133</v>
      </c>
      <c r="G5" s="43"/>
    </row>
    <row r="6" spans="1:21" ht="10.5" customHeight="1" thickTop="1" x14ac:dyDescent="0.2">
      <c r="A6" s="1"/>
      <c r="M6" s="39"/>
      <c r="N6" s="39" t="s">
        <v>67</v>
      </c>
      <c r="O6" s="39" t="s">
        <v>68</v>
      </c>
      <c r="P6" s="39" t="s">
        <v>67</v>
      </c>
      <c r="Q6" s="39" t="s">
        <v>68</v>
      </c>
      <c r="R6" s="39" t="s">
        <v>67</v>
      </c>
      <c r="S6" s="39" t="s">
        <v>68</v>
      </c>
      <c r="T6" s="39" t="s">
        <v>67</v>
      </c>
      <c r="U6" s="39" t="s">
        <v>68</v>
      </c>
    </row>
    <row r="7" spans="1:21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1</v>
      </c>
      <c r="N7" s="48">
        <v>7</v>
      </c>
      <c r="O7" s="48">
        <v>8</v>
      </c>
      <c r="P7" s="48">
        <f>+N7+7</f>
        <v>14</v>
      </c>
      <c r="Q7" s="48">
        <f t="shared" ref="Q7:T7" si="0">+O7+7</f>
        <v>15</v>
      </c>
      <c r="R7" s="48">
        <f t="shared" si="0"/>
        <v>21</v>
      </c>
      <c r="S7" s="48">
        <f t="shared" si="0"/>
        <v>22</v>
      </c>
      <c r="T7" s="48">
        <f t="shared" si="0"/>
        <v>28</v>
      </c>
      <c r="U7" s="48">
        <v>29</v>
      </c>
    </row>
    <row r="8" spans="1:21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80500</v>
      </c>
    </row>
    <row r="9" spans="1:21" x14ac:dyDescent="0.2">
      <c r="A9" s="8" t="s">
        <v>206</v>
      </c>
      <c r="B9" s="3"/>
      <c r="C9" s="3"/>
      <c r="D9" s="3"/>
      <c r="E9" s="3"/>
      <c r="F9" s="5"/>
      <c r="G9" s="10">
        <f>+L8</f>
        <v>80500</v>
      </c>
      <c r="J9" s="40" t="s">
        <v>80</v>
      </c>
      <c r="K9" s="30" t="s">
        <v>102</v>
      </c>
      <c r="L9" s="49">
        <f>SUM(M9:AN9)</f>
        <v>177569</v>
      </c>
      <c r="M9">
        <f>13360+16360</f>
        <v>29720</v>
      </c>
      <c r="N9">
        <v>4530</v>
      </c>
      <c r="O9">
        <f>14830+10040</f>
        <v>24870</v>
      </c>
      <c r="P9">
        <v>9460</v>
      </c>
      <c r="Q9">
        <f>9660+14730</f>
        <v>24390</v>
      </c>
      <c r="R9">
        <v>5870</v>
      </c>
      <c r="S9">
        <f>15180+25650</f>
        <v>40830</v>
      </c>
      <c r="T9">
        <v>6890</v>
      </c>
      <c r="U9">
        <f>14380+2000+14629</f>
        <v>31009</v>
      </c>
    </row>
    <row r="10" spans="1:21" x14ac:dyDescent="0.2">
      <c r="A10" s="8" t="s">
        <v>8</v>
      </c>
      <c r="B10" s="3"/>
      <c r="C10" s="3"/>
      <c r="D10" s="3"/>
      <c r="E10" s="3"/>
      <c r="F10" s="5"/>
      <c r="G10" s="10">
        <f t="shared" ref="G10:G17" si="1">L9</f>
        <v>177569</v>
      </c>
      <c r="J10" s="40" t="s">
        <v>81</v>
      </c>
      <c r="K10" s="30" t="s">
        <v>154</v>
      </c>
      <c r="L10" s="49">
        <f>SUM(M10:AN10)</f>
        <v>0</v>
      </c>
    </row>
    <row r="11" spans="1:21" x14ac:dyDescent="0.2">
      <c r="A11" s="8" t="s">
        <v>216</v>
      </c>
      <c r="B11" s="3"/>
      <c r="C11" s="3"/>
      <c r="D11" s="3"/>
      <c r="E11" s="3"/>
      <c r="F11" s="5"/>
      <c r="G11" s="10">
        <f t="shared" si="1"/>
        <v>0</v>
      </c>
      <c r="J11" s="40" t="s">
        <v>107</v>
      </c>
      <c r="K11" s="30" t="s">
        <v>105</v>
      </c>
      <c r="L11" s="49">
        <f>SUM(M11:AN11)</f>
        <v>15000</v>
      </c>
      <c r="R11">
        <v>5000</v>
      </c>
      <c r="S11">
        <v>10000</v>
      </c>
    </row>
    <row r="12" spans="1:21" x14ac:dyDescent="0.2">
      <c r="A12" s="8" t="s">
        <v>10</v>
      </c>
      <c r="B12" s="3"/>
      <c r="C12" s="3"/>
      <c r="D12" s="3"/>
      <c r="E12" s="3"/>
      <c r="F12" s="5"/>
      <c r="G12" s="10">
        <f t="shared" si="1"/>
        <v>15000</v>
      </c>
      <c r="J12" s="40" t="s">
        <v>108</v>
      </c>
      <c r="K12" s="30" t="s">
        <v>104</v>
      </c>
      <c r="L12" s="49">
        <f>SUM(N12:AN12)</f>
        <v>37000</v>
      </c>
      <c r="N12">
        <v>15000</v>
      </c>
      <c r="R12">
        <v>22000</v>
      </c>
    </row>
    <row r="13" spans="1:21" x14ac:dyDescent="0.2">
      <c r="A13" s="8" t="s">
        <v>71</v>
      </c>
      <c r="B13" s="3"/>
      <c r="C13" s="3"/>
      <c r="D13" s="3"/>
      <c r="E13" s="3"/>
      <c r="F13" s="5"/>
      <c r="G13" s="10">
        <f t="shared" si="1"/>
        <v>37000</v>
      </c>
      <c r="H13" s="9"/>
      <c r="J13" s="40" t="s">
        <v>119</v>
      </c>
      <c r="K13" s="30" t="s">
        <v>204</v>
      </c>
      <c r="L13" s="49">
        <f>SUM(M13:AN13)</f>
        <v>0</v>
      </c>
    </row>
    <row r="14" spans="1:21" x14ac:dyDescent="0.2">
      <c r="A14" s="8" t="s">
        <v>12</v>
      </c>
      <c r="B14" s="3"/>
      <c r="C14" s="3"/>
      <c r="D14" s="3"/>
      <c r="E14" s="3"/>
      <c r="F14" s="5"/>
      <c r="G14" s="10"/>
      <c r="J14" s="40" t="s">
        <v>120</v>
      </c>
      <c r="K14" s="30" t="s">
        <v>122</v>
      </c>
      <c r="L14" s="49">
        <f>SUM(M14:AN14)</f>
        <v>0</v>
      </c>
    </row>
    <row r="15" spans="1:21" x14ac:dyDescent="0.2">
      <c r="A15" s="8" t="s">
        <v>13</v>
      </c>
      <c r="B15" s="3"/>
      <c r="C15" s="3"/>
      <c r="D15" s="3"/>
      <c r="E15" s="3"/>
      <c r="F15" s="5"/>
      <c r="G15" s="10">
        <f t="shared" si="1"/>
        <v>0</v>
      </c>
      <c r="J15" s="40" t="s">
        <v>121</v>
      </c>
      <c r="K15" s="30" t="s">
        <v>123</v>
      </c>
      <c r="L15" s="49">
        <f>SUM(M15:AN15)</f>
        <v>0</v>
      </c>
    </row>
    <row r="16" spans="1:21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85</v>
      </c>
      <c r="K16" s="30" t="s">
        <v>106</v>
      </c>
      <c r="L16" s="49">
        <f>SUM(M16:AN16)</f>
        <v>0</v>
      </c>
    </row>
    <row r="17" spans="1:21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 t="s">
        <v>11</v>
      </c>
      <c r="K17" s="50" t="s">
        <v>124</v>
      </c>
      <c r="L17" s="51">
        <f>SUM(L8:L16)</f>
        <v>310069</v>
      </c>
    </row>
    <row r="18" spans="1:21" x14ac:dyDescent="0.2">
      <c r="A18" s="11"/>
      <c r="B18" s="12"/>
      <c r="C18" s="12"/>
      <c r="D18" s="12"/>
      <c r="F18" s="13" t="s">
        <v>53</v>
      </c>
      <c r="G18" s="10">
        <f>SUM(G9:G17)</f>
        <v>310069</v>
      </c>
      <c r="H18" s="10">
        <f>SUM(G9:G17)</f>
        <v>310069</v>
      </c>
      <c r="J18" s="40" t="s">
        <v>86</v>
      </c>
      <c r="K18" s="30" t="s">
        <v>118</v>
      </c>
      <c r="L18" s="49">
        <f>SUM(M18:AN18)</f>
        <v>0</v>
      </c>
    </row>
    <row r="19" spans="1:21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SUM(M19:AN19)</f>
        <v>0</v>
      </c>
    </row>
    <row r="20" spans="1:21" x14ac:dyDescent="0.2">
      <c r="A20" s="8" t="s">
        <v>16</v>
      </c>
      <c r="B20" s="3"/>
      <c r="C20" s="3"/>
      <c r="D20" s="3"/>
      <c r="E20" s="3"/>
      <c r="F20" s="3"/>
      <c r="G20" s="10">
        <f>L18</f>
        <v>0</v>
      </c>
      <c r="K20" s="50" t="s">
        <v>128</v>
      </c>
      <c r="L20" s="51">
        <f>SUM(L18:L19)</f>
        <v>0</v>
      </c>
    </row>
    <row r="21" spans="1:21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50" t="s">
        <v>66</v>
      </c>
      <c r="L21" s="51">
        <f>SUM(L17,L20)</f>
        <v>310069</v>
      </c>
    </row>
    <row r="22" spans="1:21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0</v>
      </c>
      <c r="H22" s="10">
        <f>G22</f>
        <v>0</v>
      </c>
    </row>
    <row r="23" spans="1:21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310069</v>
      </c>
    </row>
    <row r="24" spans="1:21" ht="10.5" customHeight="1" thickTop="1" x14ac:dyDescent="0.2">
      <c r="A24" s="1"/>
    </row>
    <row r="25" spans="1:21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1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>
        <v>3</v>
      </c>
      <c r="O26" s="48"/>
      <c r="P26" s="48">
        <v>4</v>
      </c>
      <c r="Q26" s="48">
        <v>5</v>
      </c>
      <c r="R26" s="48">
        <v>6</v>
      </c>
      <c r="S26" s="48">
        <v>7</v>
      </c>
      <c r="T26" s="48">
        <v>8</v>
      </c>
      <c r="U26" s="48">
        <v>9</v>
      </c>
    </row>
    <row r="27" spans="1:21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f t="shared" ref="L27:L49" si="2">SUM(M27:AN27)</f>
        <v>0</v>
      </c>
      <c r="M27" s="32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A28" s="6"/>
      <c r="B28" s="4" t="s">
        <v>20</v>
      </c>
      <c r="C28" s="3"/>
      <c r="D28" s="3"/>
      <c r="E28" s="3"/>
      <c r="F28" s="3"/>
      <c r="G28" s="10"/>
      <c r="J28" s="40" t="s">
        <v>80</v>
      </c>
      <c r="K28" t="s">
        <v>72</v>
      </c>
      <c r="L28" s="49">
        <f t="shared" si="2"/>
        <v>0</v>
      </c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6"/>
      <c r="B29" s="4" t="s">
        <v>196</v>
      </c>
      <c r="C29" s="3"/>
      <c r="D29" s="3"/>
      <c r="E29" s="3"/>
      <c r="F29" s="3"/>
      <c r="G29" s="10"/>
      <c r="J29" s="40" t="s">
        <v>81</v>
      </c>
      <c r="K29" s="30" t="s">
        <v>158</v>
      </c>
      <c r="L29" s="49">
        <f t="shared" si="2"/>
        <v>0</v>
      </c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6"/>
      <c r="B30" s="4" t="s">
        <v>251</v>
      </c>
      <c r="C30" s="3"/>
      <c r="D30" s="3"/>
      <c r="E30" s="3"/>
      <c r="F30" s="3"/>
      <c r="G30" s="10">
        <v>20000</v>
      </c>
      <c r="J30" s="40" t="s">
        <v>82</v>
      </c>
      <c r="K30" t="s">
        <v>149</v>
      </c>
      <c r="L30" s="49">
        <f t="shared" si="2"/>
        <v>0</v>
      </c>
      <c r="M30" s="32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6"/>
      <c r="B31" s="4" t="s">
        <v>22</v>
      </c>
      <c r="C31" s="3"/>
      <c r="D31" s="3"/>
      <c r="E31" s="3"/>
      <c r="F31" s="3"/>
      <c r="G31" s="10">
        <f>30000+30000</f>
        <v>60000</v>
      </c>
      <c r="J31" s="40" t="s">
        <v>84</v>
      </c>
      <c r="K31" t="s">
        <v>73</v>
      </c>
      <c r="L31" s="49">
        <f t="shared" si="2"/>
        <v>0</v>
      </c>
      <c r="N31" s="32"/>
      <c r="O31" s="32"/>
      <c r="P31" s="32"/>
      <c r="Q31" s="32"/>
      <c r="R31" s="32"/>
      <c r="S31" s="32"/>
      <c r="T31" s="32"/>
      <c r="U31" s="32"/>
    </row>
    <row r="32" spans="1:21" x14ac:dyDescent="0.2">
      <c r="A32" s="6"/>
      <c r="B32" s="4" t="s">
        <v>55</v>
      </c>
      <c r="C32" s="3"/>
      <c r="D32" s="3"/>
      <c r="E32" s="3"/>
      <c r="F32" s="3"/>
      <c r="G32" s="10">
        <v>30100</v>
      </c>
      <c r="H32" s="9" t="s">
        <v>11</v>
      </c>
      <c r="J32" s="40" t="s">
        <v>85</v>
      </c>
      <c r="K32" t="s">
        <v>74</v>
      </c>
      <c r="L32" s="49">
        <f t="shared" si="2"/>
        <v>0</v>
      </c>
      <c r="M32" s="32"/>
      <c r="N32" s="32"/>
      <c r="O32" s="32"/>
      <c r="P32" s="32"/>
      <c r="Q32" s="32"/>
      <c r="R32" s="32"/>
      <c r="S32" s="32"/>
      <c r="T32" s="32"/>
      <c r="U32" s="32"/>
    </row>
    <row r="33" spans="1:21" x14ac:dyDescent="0.2">
      <c r="A33" s="6"/>
      <c r="B33" s="3"/>
      <c r="C33" s="3"/>
      <c r="D33" s="3"/>
      <c r="E33" s="3"/>
      <c r="F33" s="14" t="s">
        <v>23</v>
      </c>
      <c r="G33" s="10">
        <f>SUM($G27:$G32)</f>
        <v>140100</v>
      </c>
      <c r="H33" s="10">
        <f>SUM($G27:$G32)</f>
        <v>140100</v>
      </c>
      <c r="J33" s="40" t="s">
        <v>86</v>
      </c>
      <c r="K33" s="58" t="s">
        <v>75</v>
      </c>
      <c r="L33" s="49">
        <f t="shared" si="2"/>
        <v>0</v>
      </c>
      <c r="M33" s="32"/>
      <c r="N33" s="32"/>
      <c r="O33" s="32"/>
      <c r="P33" s="32"/>
      <c r="Q33" s="32"/>
      <c r="R33" s="32"/>
      <c r="S33" s="32"/>
      <c r="T33" s="32"/>
      <c r="U33" s="32"/>
    </row>
    <row r="34" spans="1:21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 t="shared" si="2"/>
        <v>0</v>
      </c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 t="shared" si="2"/>
        <v>0</v>
      </c>
      <c r="M35" s="32"/>
      <c r="N35" s="32"/>
      <c r="O35" s="32"/>
      <c r="P35" s="32"/>
      <c r="Q35" s="32"/>
      <c r="R35" s="32"/>
      <c r="S35" s="32"/>
      <c r="T35" s="32"/>
      <c r="U35" s="32"/>
    </row>
    <row r="36" spans="1:21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 t="shared" si="2"/>
        <v>0</v>
      </c>
      <c r="M36" s="32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f t="shared" si="2"/>
        <v>0</v>
      </c>
      <c r="M37" s="32"/>
      <c r="N37" s="30"/>
      <c r="O37" s="30"/>
      <c r="P37" s="30"/>
      <c r="Q37" s="30"/>
      <c r="R37" s="30"/>
      <c r="S37" s="30"/>
      <c r="T37" s="30"/>
      <c r="U37" s="30"/>
    </row>
    <row r="38" spans="1:21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f t="shared" si="2"/>
        <v>0</v>
      </c>
      <c r="M38" s="32"/>
    </row>
    <row r="39" spans="1:21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 t="shared" si="2"/>
        <v>0</v>
      </c>
      <c r="M39" s="32"/>
    </row>
    <row r="40" spans="1:21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 t="shared" si="2"/>
        <v>0</v>
      </c>
      <c r="M40" s="32"/>
    </row>
    <row r="41" spans="1:21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96</v>
      </c>
      <c r="L41" s="49">
        <f t="shared" si="2"/>
        <v>0</v>
      </c>
      <c r="M41" s="32"/>
    </row>
    <row r="42" spans="1:21" x14ac:dyDescent="0.2">
      <c r="A42" s="6"/>
      <c r="B42" s="4" t="s">
        <v>35</v>
      </c>
      <c r="C42" s="3"/>
      <c r="D42" s="3"/>
      <c r="E42" s="3"/>
      <c r="F42" s="5"/>
      <c r="G42" s="10">
        <v>0</v>
      </c>
      <c r="J42" s="40" t="s">
        <v>100</v>
      </c>
      <c r="K42" s="30" t="s">
        <v>97</v>
      </c>
      <c r="L42" s="49">
        <f t="shared" si="2"/>
        <v>0</v>
      </c>
      <c r="M42" s="32"/>
    </row>
    <row r="43" spans="1:21" x14ac:dyDescent="0.2">
      <c r="A43" s="6"/>
      <c r="B43" s="4" t="s">
        <v>29</v>
      </c>
      <c r="C43" s="3"/>
      <c r="D43" s="3"/>
      <c r="E43" s="3"/>
      <c r="F43" s="5"/>
      <c r="G43" s="10">
        <v>4500</v>
      </c>
      <c r="J43" s="40" t="s">
        <v>111</v>
      </c>
      <c r="K43" s="30" t="s">
        <v>65</v>
      </c>
      <c r="L43" s="49">
        <f t="shared" si="2"/>
        <v>0</v>
      </c>
      <c r="M43" s="32"/>
    </row>
    <row r="44" spans="1:21" x14ac:dyDescent="0.2">
      <c r="A44" s="6"/>
      <c r="B44" s="4" t="s">
        <v>36</v>
      </c>
      <c r="C44" s="3"/>
      <c r="D44" s="3"/>
      <c r="E44" s="3"/>
      <c r="F44" s="5"/>
      <c r="G44" s="10" t="s">
        <v>174</v>
      </c>
      <c r="J44" s="40" t="s">
        <v>109</v>
      </c>
      <c r="K44" s="30" t="s">
        <v>141</v>
      </c>
      <c r="L44" s="49">
        <f t="shared" si="2"/>
        <v>0</v>
      </c>
      <c r="M44" s="32"/>
    </row>
    <row r="45" spans="1:21" x14ac:dyDescent="0.2">
      <c r="A45" s="6"/>
      <c r="B45" s="4" t="s">
        <v>37</v>
      </c>
      <c r="C45" s="3"/>
      <c r="D45" s="3"/>
      <c r="E45" s="3"/>
      <c r="F45" s="5"/>
      <c r="G45" s="10">
        <v>200000</v>
      </c>
      <c r="J45" s="40" t="s">
        <v>110</v>
      </c>
      <c r="K45" s="30" t="s">
        <v>65</v>
      </c>
      <c r="L45" s="49">
        <f t="shared" si="2"/>
        <v>0</v>
      </c>
      <c r="M45" s="32"/>
    </row>
    <row r="46" spans="1:21" x14ac:dyDescent="0.2">
      <c r="A46" s="6"/>
      <c r="B46" s="4" t="s">
        <v>38</v>
      </c>
      <c r="C46" s="3"/>
      <c r="D46" s="3"/>
      <c r="E46" s="3"/>
      <c r="F46" s="5"/>
      <c r="G46" s="10">
        <f t="shared" ref="G46:G49" si="3">L42</f>
        <v>0</v>
      </c>
      <c r="J46" s="40" t="s">
        <v>112</v>
      </c>
      <c r="K46" s="30" t="s">
        <v>116</v>
      </c>
      <c r="L46" s="49">
        <f t="shared" si="2"/>
        <v>0</v>
      </c>
    </row>
    <row r="47" spans="1:21" x14ac:dyDescent="0.2">
      <c r="A47" s="6"/>
      <c r="B47" s="4" t="s">
        <v>205</v>
      </c>
      <c r="C47" s="3"/>
      <c r="D47" s="3"/>
      <c r="E47" s="3"/>
      <c r="F47" s="5"/>
      <c r="G47" s="10">
        <v>0</v>
      </c>
      <c r="J47" s="40" t="s">
        <v>113</v>
      </c>
      <c r="K47" s="30" t="s">
        <v>117</v>
      </c>
      <c r="L47" s="49">
        <f t="shared" si="2"/>
        <v>0</v>
      </c>
    </row>
    <row r="48" spans="1:21" x14ac:dyDescent="0.2">
      <c r="A48" s="8" t="s">
        <v>30</v>
      </c>
      <c r="B48" s="3" t="s">
        <v>39</v>
      </c>
      <c r="C48" s="3"/>
      <c r="D48" s="3"/>
      <c r="E48" s="3"/>
      <c r="F48" s="5"/>
      <c r="G48" s="10">
        <f t="shared" si="3"/>
        <v>0</v>
      </c>
      <c r="J48" s="40" t="s">
        <v>114</v>
      </c>
      <c r="K48" s="30" t="s">
        <v>118</v>
      </c>
      <c r="L48" s="49">
        <f t="shared" si="2"/>
        <v>0</v>
      </c>
      <c r="M48" s="32"/>
    </row>
    <row r="49" spans="1:13" x14ac:dyDescent="0.2">
      <c r="A49" s="8" t="s">
        <v>0</v>
      </c>
      <c r="B49" s="3" t="s">
        <v>39</v>
      </c>
      <c r="C49" s="3"/>
      <c r="D49" s="3"/>
      <c r="E49" s="3"/>
      <c r="F49" s="5"/>
      <c r="G49" s="10">
        <f t="shared" si="3"/>
        <v>0</v>
      </c>
      <c r="H49" s="9" t="s">
        <v>18</v>
      </c>
      <c r="J49" s="40" t="s">
        <v>115</v>
      </c>
      <c r="K49" s="30" t="s">
        <v>118</v>
      </c>
      <c r="L49" s="49">
        <f t="shared" si="2"/>
        <v>0</v>
      </c>
      <c r="M49" s="32"/>
    </row>
    <row r="50" spans="1:13" x14ac:dyDescent="0.2">
      <c r="A50" s="6"/>
      <c r="B50" s="3"/>
      <c r="C50" s="3"/>
      <c r="D50" s="3"/>
      <c r="E50" s="3"/>
      <c r="F50" s="14" t="s">
        <v>40</v>
      </c>
      <c r="G50" s="10">
        <f>SUM($G41:$G49)</f>
        <v>204500</v>
      </c>
      <c r="H50" s="10">
        <f>SUM($G41:$G49)</f>
        <v>204500</v>
      </c>
      <c r="K50" s="53" t="s">
        <v>124</v>
      </c>
      <c r="L50" s="54">
        <f>SUM(L27:L32)</f>
        <v>0</v>
      </c>
    </row>
    <row r="51" spans="1:13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3" x14ac:dyDescent="0.2">
      <c r="A52" s="6"/>
      <c r="B52" s="4" t="s">
        <v>42</v>
      </c>
      <c r="C52" s="3"/>
      <c r="D52" s="3"/>
      <c r="E52" s="3"/>
      <c r="F52" s="5"/>
      <c r="G52" s="10">
        <f>(H18*5)/100</f>
        <v>15503.45</v>
      </c>
      <c r="K52" s="53" t="s">
        <v>126</v>
      </c>
      <c r="L52" s="54">
        <f>SUM(L37:L45)</f>
        <v>0</v>
      </c>
    </row>
    <row r="53" spans="1:13" x14ac:dyDescent="0.2">
      <c r="A53" s="6"/>
      <c r="B53" s="4" t="s">
        <v>58</v>
      </c>
      <c r="C53" s="3"/>
      <c r="D53" s="3"/>
      <c r="E53" s="3"/>
      <c r="F53" s="5"/>
      <c r="G53" s="10">
        <f>(H18*5)/100</f>
        <v>15503.45</v>
      </c>
      <c r="K53" s="53" t="s">
        <v>66</v>
      </c>
      <c r="L53" s="54">
        <f>SUM(L27:L49)</f>
        <v>0</v>
      </c>
    </row>
    <row r="54" spans="1:13" x14ac:dyDescent="0.2">
      <c r="A54" s="6"/>
      <c r="B54" s="4" t="s">
        <v>43</v>
      </c>
      <c r="C54" s="3"/>
      <c r="D54" s="3"/>
      <c r="E54" s="3"/>
      <c r="F54" s="5"/>
      <c r="G54" s="10">
        <f>L48</f>
        <v>0</v>
      </c>
    </row>
    <row r="55" spans="1:13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3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31006.9</v>
      </c>
      <c r="H56" s="10">
        <f>SUM($G52:$G55)</f>
        <v>31006.9</v>
      </c>
    </row>
    <row r="57" spans="1:13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375606.9</v>
      </c>
    </row>
    <row r="58" spans="1:13" ht="14.25" thickTop="1" thickBot="1" x14ac:dyDescent="0.25">
      <c r="A58" s="17"/>
      <c r="B58" s="7"/>
      <c r="C58" s="7"/>
      <c r="D58" s="7"/>
      <c r="E58" s="7"/>
      <c r="F58" s="7"/>
    </row>
    <row r="59" spans="1:13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-65537.900000000023</v>
      </c>
      <c r="K59" s="55"/>
    </row>
    <row r="60" spans="1:13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v>290253.42500000022</v>
      </c>
      <c r="K60" s="55"/>
    </row>
    <row r="61" spans="1:13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224715.5250000002</v>
      </c>
    </row>
    <row r="62" spans="1:13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1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:G3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67"/>
  <sheetViews>
    <sheetView topLeftCell="A25" zoomScale="90" zoomScaleNormal="90" workbookViewId="0">
      <selection activeCell="G9" sqref="G9:G13"/>
    </sheetView>
  </sheetViews>
  <sheetFormatPr baseColWidth="10" defaultRowHeight="12.75" x14ac:dyDescent="0.2"/>
  <cols>
    <col min="1" max="2" width="12.140625" customWidth="1"/>
    <col min="3" max="3" width="13" customWidth="1"/>
    <col min="4" max="6" width="12.140625" customWidth="1"/>
    <col min="7" max="7" width="30.5703125" bestFit="1" customWidth="1"/>
    <col min="8" max="8" width="14.7109375" customWidth="1"/>
    <col min="9" max="9" width="4.5703125" customWidth="1"/>
    <col min="10" max="10" width="2.5703125" bestFit="1" customWidth="1"/>
    <col min="11" max="11" width="52.140625" bestFit="1" customWidth="1"/>
    <col min="12" max="12" width="17.42578125" bestFit="1" customWidth="1"/>
    <col min="13" max="13" width="13.140625" bestFit="1" customWidth="1"/>
  </cols>
  <sheetData>
    <row r="1" spans="1:21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1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1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2023</v>
      </c>
    </row>
    <row r="4" spans="1:21" ht="10.5" customHeight="1" thickBot="1" x14ac:dyDescent="0.25">
      <c r="A4" s="1"/>
    </row>
    <row r="5" spans="1:21" ht="21.75" thickTop="1" thickBot="1" x14ac:dyDescent="0.35">
      <c r="C5" s="18" t="s">
        <v>2</v>
      </c>
      <c r="F5" s="42" t="s">
        <v>132</v>
      </c>
      <c r="G5" s="43"/>
    </row>
    <row r="6" spans="1:21" ht="10.5" customHeight="1" thickTop="1" x14ac:dyDescent="0.2">
      <c r="A6" s="1"/>
      <c r="M6" s="39" t="s">
        <v>67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275</v>
      </c>
      <c r="T6" s="39" t="s">
        <v>67</v>
      </c>
      <c r="U6" s="39" t="s">
        <v>68</v>
      </c>
    </row>
    <row r="7" spans="1:21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4</v>
      </c>
      <c r="N7" s="48">
        <v>5</v>
      </c>
      <c r="O7" s="48">
        <f>+M7+7</f>
        <v>11</v>
      </c>
      <c r="P7" s="48">
        <f t="shared" ref="P7" si="0">+N7+7</f>
        <v>12</v>
      </c>
      <c r="Q7" s="48">
        <f>+O7+7</f>
        <v>18</v>
      </c>
      <c r="R7" s="48">
        <f>+P7+7</f>
        <v>19</v>
      </c>
      <c r="S7" s="48">
        <v>22</v>
      </c>
      <c r="T7" s="48">
        <f>+Q7+7</f>
        <v>25</v>
      </c>
      <c r="U7" s="48">
        <f>+R7+7</f>
        <v>26</v>
      </c>
    </row>
    <row r="8" spans="1:21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87500</v>
      </c>
    </row>
    <row r="9" spans="1:21" x14ac:dyDescent="0.2">
      <c r="A9" s="8" t="s">
        <v>7</v>
      </c>
      <c r="B9" s="3"/>
      <c r="C9" s="3"/>
      <c r="D9" s="3"/>
      <c r="E9" s="3"/>
      <c r="F9" s="5"/>
      <c r="G9" s="10">
        <f>+L8</f>
        <v>87500</v>
      </c>
      <c r="J9" s="40" t="s">
        <v>80</v>
      </c>
      <c r="K9" s="30" t="s">
        <v>102</v>
      </c>
      <c r="L9" s="49">
        <f>SUM(M9:AO9)</f>
        <v>245171</v>
      </c>
      <c r="M9">
        <f>7790+2000</f>
        <v>9790</v>
      </c>
      <c r="N9">
        <f>4770+13810+1000+16180</f>
        <v>35760</v>
      </c>
      <c r="O9">
        <v>7630</v>
      </c>
      <c r="P9">
        <f>16434+13930+1000+12430</f>
        <v>43794</v>
      </c>
      <c r="Q9">
        <v>7060</v>
      </c>
      <c r="R9">
        <f>16570+18180+15690</f>
        <v>50440</v>
      </c>
      <c r="S9">
        <f>27670+1000</f>
        <v>28670</v>
      </c>
      <c r="T9">
        <v>4830</v>
      </c>
      <c r="U9">
        <f>17596+21850+17751</f>
        <v>57197</v>
      </c>
    </row>
    <row r="10" spans="1:21" x14ac:dyDescent="0.2">
      <c r="A10" s="8" t="s">
        <v>8</v>
      </c>
      <c r="B10" s="3"/>
      <c r="C10" s="3"/>
      <c r="D10" s="3"/>
      <c r="E10" s="3"/>
      <c r="F10" s="5"/>
      <c r="G10" s="10">
        <f t="shared" ref="G10:G18" si="1">L9</f>
        <v>245171</v>
      </c>
      <c r="J10" s="40" t="s">
        <v>81</v>
      </c>
      <c r="K10" s="30" t="s">
        <v>154</v>
      </c>
      <c r="L10" s="49">
        <f>SUM(M10:AO10)</f>
        <v>28000</v>
      </c>
      <c r="M10">
        <v>25000</v>
      </c>
      <c r="O10">
        <v>3000</v>
      </c>
    </row>
    <row r="11" spans="1:21" x14ac:dyDescent="0.2">
      <c r="A11" s="8" t="str">
        <f>+'ENE 23'!A11</f>
        <v xml:space="preserve">     c) Cinerario</v>
      </c>
      <c r="B11" s="3"/>
      <c r="C11" s="3"/>
      <c r="D11" s="3"/>
      <c r="E11" s="3"/>
      <c r="F11" s="5"/>
      <c r="G11" s="10">
        <f t="shared" si="1"/>
        <v>28000</v>
      </c>
      <c r="J11" s="40" t="s">
        <v>107</v>
      </c>
      <c r="K11" s="30" t="s">
        <v>105</v>
      </c>
      <c r="L11" s="49">
        <f>SUM(M11:Q11)</f>
        <v>16000</v>
      </c>
      <c r="O11">
        <v>10000</v>
      </c>
      <c r="Q11">
        <v>6000</v>
      </c>
      <c r="S11">
        <v>4000</v>
      </c>
    </row>
    <row r="12" spans="1:21" x14ac:dyDescent="0.2">
      <c r="A12" s="8" t="s">
        <v>10</v>
      </c>
      <c r="B12" s="3"/>
      <c r="C12" s="3"/>
      <c r="D12" s="3"/>
      <c r="E12" s="3"/>
      <c r="F12" s="5"/>
      <c r="G12" s="10">
        <f t="shared" si="1"/>
        <v>16000</v>
      </c>
      <c r="J12" s="40" t="s">
        <v>108</v>
      </c>
      <c r="K12" s="30" t="s">
        <v>104</v>
      </c>
      <c r="L12" s="49">
        <f>SUM(M12:AO12)</f>
        <v>7000</v>
      </c>
      <c r="R12">
        <v>7000</v>
      </c>
    </row>
    <row r="13" spans="1:21" x14ac:dyDescent="0.2">
      <c r="A13" s="8" t="s">
        <v>71</v>
      </c>
      <c r="B13" s="3"/>
      <c r="C13" s="3"/>
      <c r="D13" s="3"/>
      <c r="E13" s="3"/>
      <c r="F13" s="5"/>
      <c r="G13" s="10">
        <f>+L12</f>
        <v>7000</v>
      </c>
      <c r="H13" s="9"/>
      <c r="J13" s="40" t="s">
        <v>119</v>
      </c>
      <c r="K13" s="30" t="s">
        <v>63</v>
      </c>
      <c r="L13" s="49">
        <f>SUM(M13:AO13)</f>
        <v>0</v>
      </c>
    </row>
    <row r="14" spans="1:21" x14ac:dyDescent="0.2">
      <c r="A14" s="8"/>
      <c r="B14" s="3"/>
      <c r="C14" s="3" t="s">
        <v>207</v>
      </c>
      <c r="D14" s="3"/>
      <c r="E14" s="3"/>
      <c r="F14" s="5"/>
      <c r="G14" s="10"/>
      <c r="H14" s="9"/>
      <c r="J14" s="40"/>
      <c r="K14" s="30"/>
      <c r="L14" s="49"/>
    </row>
    <row r="15" spans="1:21" x14ac:dyDescent="0.2">
      <c r="A15" s="8" t="s">
        <v>12</v>
      </c>
      <c r="B15" s="3"/>
      <c r="C15" s="3"/>
      <c r="D15" s="3"/>
      <c r="E15" s="3"/>
      <c r="F15" s="5"/>
      <c r="G15" s="10">
        <f>L13</f>
        <v>0</v>
      </c>
      <c r="J15" s="40" t="s">
        <v>120</v>
      </c>
      <c r="K15" s="30" t="s">
        <v>122</v>
      </c>
      <c r="L15" s="49">
        <f>SUM(M15:AO15)</f>
        <v>0</v>
      </c>
    </row>
    <row r="16" spans="1:21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121</v>
      </c>
      <c r="K16" s="30" t="s">
        <v>123</v>
      </c>
      <c r="L16" s="49">
        <f>SUM(M16:AO16)</f>
        <v>0</v>
      </c>
    </row>
    <row r="17" spans="1:21" x14ac:dyDescent="0.2">
      <c r="A17" s="8" t="s">
        <v>13</v>
      </c>
      <c r="B17" s="3"/>
      <c r="C17" s="3"/>
      <c r="D17" s="3"/>
      <c r="E17" s="3"/>
      <c r="F17" s="5"/>
      <c r="G17" s="10">
        <f t="shared" si="1"/>
        <v>0</v>
      </c>
      <c r="J17" s="40" t="s">
        <v>85</v>
      </c>
      <c r="K17" s="30" t="s">
        <v>106</v>
      </c>
      <c r="L17" s="49">
        <f>SUM(M17:AO17)</f>
        <v>0</v>
      </c>
    </row>
    <row r="18" spans="1:21" x14ac:dyDescent="0.2">
      <c r="A18" s="8" t="s">
        <v>14</v>
      </c>
      <c r="B18" s="3"/>
      <c r="C18" s="3"/>
      <c r="D18" s="3"/>
      <c r="E18" s="3"/>
      <c r="F18" s="5"/>
      <c r="G18" s="10">
        <f t="shared" si="1"/>
        <v>0</v>
      </c>
      <c r="H18" s="9" t="s">
        <v>11</v>
      </c>
      <c r="K18" s="50" t="s">
        <v>124</v>
      </c>
      <c r="L18" s="51">
        <f>SUM(L8:L17)</f>
        <v>383671</v>
      </c>
    </row>
    <row r="19" spans="1:21" x14ac:dyDescent="0.2">
      <c r="A19" s="11"/>
      <c r="B19" s="12"/>
      <c r="C19" s="12"/>
      <c r="D19" s="12"/>
      <c r="F19" s="13" t="s">
        <v>53</v>
      </c>
      <c r="G19" s="10">
        <f>SUM(G9:G18)</f>
        <v>383671</v>
      </c>
      <c r="H19" s="10">
        <f>SUM(G9:G18)</f>
        <v>383671</v>
      </c>
      <c r="J19" s="40" t="s">
        <v>86</v>
      </c>
      <c r="K19" s="30" t="s">
        <v>118</v>
      </c>
      <c r="L19" s="49">
        <f>SUM(M19:AO19)</f>
        <v>0</v>
      </c>
    </row>
    <row r="20" spans="1:21" x14ac:dyDescent="0.2">
      <c r="A20" s="8" t="s">
        <v>51</v>
      </c>
      <c r="B20" s="3"/>
      <c r="C20" s="3"/>
      <c r="D20" s="3"/>
      <c r="E20" s="3"/>
      <c r="F20" s="5"/>
      <c r="J20" s="40" t="s">
        <v>87</v>
      </c>
      <c r="K20" s="30" t="s">
        <v>118</v>
      </c>
      <c r="L20" s="49">
        <f>SUM(M20:AO20)</f>
        <v>0</v>
      </c>
    </row>
    <row r="21" spans="1:21" x14ac:dyDescent="0.2">
      <c r="A21" s="8" t="s">
        <v>16</v>
      </c>
      <c r="B21" s="3"/>
      <c r="C21" s="3"/>
      <c r="D21" s="3"/>
      <c r="E21" s="3"/>
      <c r="F21" s="3"/>
      <c r="G21" s="10">
        <f>L19</f>
        <v>0</v>
      </c>
      <c r="K21" s="50" t="s">
        <v>128</v>
      </c>
      <c r="L21" s="51">
        <f>SUM(L19:L20)</f>
        <v>0</v>
      </c>
    </row>
    <row r="22" spans="1:21" x14ac:dyDescent="0.2">
      <c r="A22" s="8" t="s">
        <v>17</v>
      </c>
      <c r="B22" s="3"/>
      <c r="C22" s="3"/>
      <c r="D22" s="3"/>
      <c r="E22" s="3"/>
      <c r="F22" s="3"/>
      <c r="G22" s="10">
        <f>L20</f>
        <v>0</v>
      </c>
      <c r="H22" s="9" t="s">
        <v>15</v>
      </c>
      <c r="K22" s="50" t="s">
        <v>66</v>
      </c>
      <c r="L22" s="51">
        <f>SUM(L18,L21)</f>
        <v>383671</v>
      </c>
      <c r="N22" s="41"/>
    </row>
    <row r="23" spans="1:21" ht="13.5" thickBot="1" x14ac:dyDescent="0.25">
      <c r="A23" s="8"/>
      <c r="B23" s="3"/>
      <c r="C23" s="3"/>
      <c r="D23" s="3"/>
      <c r="E23" s="3"/>
      <c r="F23" s="14" t="s">
        <v>54</v>
      </c>
      <c r="G23" s="10">
        <f>SUM($G21:$G22)</f>
        <v>0</v>
      </c>
      <c r="H23" s="10">
        <f>G23</f>
        <v>0</v>
      </c>
    </row>
    <row r="24" spans="1:21" ht="16.5" thickTop="1" thickBot="1" x14ac:dyDescent="0.3">
      <c r="A24" s="6"/>
      <c r="B24" s="3"/>
      <c r="C24" s="3"/>
      <c r="D24" s="3"/>
      <c r="E24" s="3"/>
      <c r="F24" s="3"/>
      <c r="G24" s="15" t="s">
        <v>52</v>
      </c>
      <c r="H24" s="16">
        <f>SUM(H19+H23)</f>
        <v>383671</v>
      </c>
    </row>
    <row r="25" spans="1:21" ht="10.5" customHeight="1" thickTop="1" x14ac:dyDescent="0.2">
      <c r="A25" s="1"/>
    </row>
    <row r="26" spans="1:21" ht="15.75" x14ac:dyDescent="0.25">
      <c r="A26" s="98" t="s">
        <v>19</v>
      </c>
      <c r="B26" s="99"/>
      <c r="C26" s="99"/>
      <c r="D26" s="99"/>
      <c r="E26" s="99"/>
      <c r="F26" s="99"/>
      <c r="G26" s="99"/>
      <c r="H26" s="100"/>
    </row>
    <row r="27" spans="1:21" x14ac:dyDescent="0.2">
      <c r="A27" s="8" t="s">
        <v>26</v>
      </c>
      <c r="B27" s="3"/>
      <c r="C27" s="3"/>
      <c r="D27" s="3"/>
      <c r="E27" s="3"/>
      <c r="F27" s="5"/>
      <c r="K27" s="52" t="s">
        <v>19</v>
      </c>
      <c r="L27" s="47" t="s">
        <v>61</v>
      </c>
      <c r="M27" s="48">
        <v>1</v>
      </c>
      <c r="N27" s="48">
        <v>2</v>
      </c>
      <c r="O27" s="48">
        <v>3</v>
      </c>
      <c r="P27" s="48">
        <v>4</v>
      </c>
      <c r="Q27" s="48">
        <v>6</v>
      </c>
      <c r="R27" s="48">
        <v>7</v>
      </c>
      <c r="S27" s="48"/>
      <c r="T27" s="48">
        <v>8</v>
      </c>
      <c r="U27" s="48">
        <v>9</v>
      </c>
    </row>
    <row r="28" spans="1:21" x14ac:dyDescent="0.2">
      <c r="A28" s="8"/>
      <c r="B28" s="3" t="s">
        <v>25</v>
      </c>
      <c r="C28" s="3"/>
      <c r="D28" s="3"/>
      <c r="E28" s="3"/>
      <c r="F28" s="3"/>
      <c r="G28" s="10">
        <v>30000</v>
      </c>
      <c r="J28" s="40" t="s">
        <v>83</v>
      </c>
      <c r="K28" s="30" t="s">
        <v>69</v>
      </c>
      <c r="L28" s="49">
        <v>30000</v>
      </c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6"/>
      <c r="B29" s="4" t="s">
        <v>20</v>
      </c>
      <c r="C29" s="3"/>
      <c r="D29" s="3"/>
      <c r="E29" s="3"/>
      <c r="F29" s="3"/>
      <c r="G29" s="10">
        <v>0</v>
      </c>
      <c r="J29" s="40" t="s">
        <v>80</v>
      </c>
      <c r="K29" t="s">
        <v>72</v>
      </c>
      <c r="L29" s="49">
        <f>SUM(M29:AO29)</f>
        <v>0</v>
      </c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6"/>
      <c r="B30" s="4" t="s">
        <v>21</v>
      </c>
      <c r="C30" s="3"/>
      <c r="D30" s="3"/>
      <c r="E30" s="3"/>
      <c r="F30" s="3"/>
      <c r="G30" s="10">
        <v>20000</v>
      </c>
      <c r="J30" s="40" t="s">
        <v>81</v>
      </c>
      <c r="K30" s="30" t="s">
        <v>70</v>
      </c>
      <c r="L30" s="49">
        <v>20000</v>
      </c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6"/>
      <c r="B31" s="4" t="s">
        <v>148</v>
      </c>
      <c r="C31" s="3"/>
      <c r="D31" s="3"/>
      <c r="E31" s="3"/>
      <c r="F31" s="3"/>
      <c r="G31" s="10">
        <f t="shared" ref="G31" si="2">L31</f>
        <v>0</v>
      </c>
      <c r="J31" s="40" t="s">
        <v>82</v>
      </c>
      <c r="K31" t="s">
        <v>149</v>
      </c>
      <c r="L31" s="49">
        <f>SUM(M31:AO31)</f>
        <v>0</v>
      </c>
      <c r="M31" s="32"/>
      <c r="N31" s="32"/>
      <c r="O31" s="32"/>
      <c r="P31" s="32"/>
      <c r="Q31" s="32"/>
      <c r="R31" s="32"/>
      <c r="S31" s="32"/>
      <c r="T31" s="32"/>
      <c r="U31" s="32"/>
    </row>
    <row r="32" spans="1:21" x14ac:dyDescent="0.2">
      <c r="A32" s="6"/>
      <c r="B32" s="4" t="s">
        <v>22</v>
      </c>
      <c r="C32" s="3"/>
      <c r="D32" s="3"/>
      <c r="E32" s="3"/>
      <c r="F32" s="3"/>
      <c r="G32" s="10">
        <v>60000</v>
      </c>
      <c r="J32" s="40" t="s">
        <v>84</v>
      </c>
      <c r="K32" t="s">
        <v>73</v>
      </c>
      <c r="L32" s="49">
        <v>60000</v>
      </c>
      <c r="M32" t="s">
        <v>276</v>
      </c>
      <c r="N32" s="32"/>
      <c r="O32" s="32"/>
      <c r="P32" s="32"/>
      <c r="Q32" s="32"/>
      <c r="R32" s="32"/>
      <c r="S32" s="32"/>
      <c r="T32" s="32"/>
      <c r="U32" s="32"/>
    </row>
    <row r="33" spans="1:21" x14ac:dyDescent="0.2">
      <c r="A33" s="6"/>
      <c r="B33" s="4" t="s">
        <v>55</v>
      </c>
      <c r="C33" s="3"/>
      <c r="D33" s="3"/>
      <c r="E33" s="3"/>
      <c r="F33" s="3"/>
      <c r="G33" s="10">
        <v>33700</v>
      </c>
      <c r="H33" s="9" t="s">
        <v>11</v>
      </c>
      <c r="J33" s="40" t="s">
        <v>85</v>
      </c>
      <c r="K33" t="s">
        <v>74</v>
      </c>
      <c r="L33" s="49">
        <v>33700</v>
      </c>
      <c r="M33" s="32"/>
      <c r="N33" s="32"/>
      <c r="O33" s="32"/>
      <c r="P33" s="32"/>
      <c r="Q33" s="32"/>
      <c r="R33" s="32"/>
      <c r="S33" s="32"/>
      <c r="T33" s="32"/>
      <c r="U33" s="32"/>
    </row>
    <row r="34" spans="1:21" x14ac:dyDescent="0.2">
      <c r="A34" s="6"/>
      <c r="B34" s="3"/>
      <c r="C34" s="3"/>
      <c r="D34" s="3"/>
      <c r="E34" s="3"/>
      <c r="F34" s="14" t="s">
        <v>23</v>
      </c>
      <c r="G34" s="10">
        <f>SUM($G28:$G33)</f>
        <v>143700</v>
      </c>
      <c r="H34" s="10">
        <f>SUM($G28:$G33)</f>
        <v>143700</v>
      </c>
      <c r="J34" s="40" t="s">
        <v>86</v>
      </c>
      <c r="K34" s="58" t="s">
        <v>75</v>
      </c>
      <c r="L34" s="49">
        <f>SUM(M34:AO34)</f>
        <v>0</v>
      </c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A35" s="8" t="s">
        <v>24</v>
      </c>
      <c r="B35" s="3"/>
      <c r="C35" s="3"/>
      <c r="D35" s="3"/>
      <c r="E35" s="3"/>
      <c r="F35" s="5"/>
      <c r="J35" s="40" t="s">
        <v>87</v>
      </c>
      <c r="K35" s="58" t="s">
        <v>76</v>
      </c>
      <c r="L35" s="49">
        <f>SUM(M35:AO35)</f>
        <v>0</v>
      </c>
      <c r="M35" s="32"/>
      <c r="N35" s="32"/>
      <c r="O35" s="32"/>
      <c r="P35" s="32"/>
      <c r="Q35" s="32"/>
      <c r="R35" s="32"/>
      <c r="S35" s="32"/>
      <c r="T35" s="32"/>
      <c r="U35" s="32"/>
    </row>
    <row r="36" spans="1:21" x14ac:dyDescent="0.2">
      <c r="A36" s="6"/>
      <c r="B36" s="4" t="s">
        <v>27</v>
      </c>
      <c r="C36" s="3"/>
      <c r="D36" s="3"/>
      <c r="E36" s="3"/>
      <c r="F36" s="5"/>
      <c r="G36" s="10">
        <f>L34</f>
        <v>0</v>
      </c>
      <c r="J36" s="40" t="s">
        <v>88</v>
      </c>
      <c r="K36" s="58" t="s">
        <v>77</v>
      </c>
      <c r="L36" s="49">
        <v>0</v>
      </c>
      <c r="M36" s="32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6"/>
      <c r="B37" s="4" t="s">
        <v>28</v>
      </c>
      <c r="C37" s="3"/>
      <c r="D37" s="3"/>
      <c r="E37" s="3"/>
      <c r="F37" s="5"/>
      <c r="G37" s="10">
        <f>L35</f>
        <v>0</v>
      </c>
      <c r="J37" s="40" t="s">
        <v>89</v>
      </c>
      <c r="K37" s="58" t="s">
        <v>78</v>
      </c>
      <c r="L37" s="49">
        <f>SUM(M37:AO37)</f>
        <v>0</v>
      </c>
      <c r="M37" s="32"/>
      <c r="N37" s="32"/>
      <c r="O37" s="32"/>
      <c r="P37" s="32"/>
      <c r="Q37" s="32"/>
      <c r="R37" s="32"/>
      <c r="S37" s="32"/>
      <c r="T37" s="32"/>
      <c r="U37" s="32"/>
    </row>
    <row r="38" spans="1:21" x14ac:dyDescent="0.2">
      <c r="A38" s="6"/>
      <c r="B38" s="4" t="s">
        <v>56</v>
      </c>
      <c r="C38" s="3"/>
      <c r="D38" s="3"/>
      <c r="E38" s="3"/>
      <c r="F38" s="5"/>
      <c r="G38" s="10">
        <v>0</v>
      </c>
      <c r="J38" s="40" t="s">
        <v>90</v>
      </c>
      <c r="K38" s="30" t="s">
        <v>79</v>
      </c>
      <c r="L38" s="49">
        <f>SUM(M38:AO38)</f>
        <v>0</v>
      </c>
      <c r="M38" s="32"/>
      <c r="N38" s="30"/>
      <c r="O38" s="30"/>
      <c r="P38" s="30"/>
      <c r="Q38" s="30"/>
      <c r="R38" s="30"/>
      <c r="S38" s="30"/>
      <c r="T38" s="30"/>
      <c r="U38" s="30"/>
    </row>
    <row r="39" spans="1:21" x14ac:dyDescent="0.2">
      <c r="A39" s="6"/>
      <c r="B39" s="4" t="s">
        <v>34</v>
      </c>
      <c r="C39" s="3"/>
      <c r="D39" s="3"/>
      <c r="E39" s="3"/>
      <c r="F39" s="5"/>
      <c r="G39" s="10">
        <f>L37</f>
        <v>0</v>
      </c>
      <c r="H39" s="9" t="s">
        <v>15</v>
      </c>
      <c r="J39" s="40" t="s">
        <v>91</v>
      </c>
      <c r="K39" s="30" t="s">
        <v>92</v>
      </c>
      <c r="L39" s="49">
        <f>SUM(M39:AO39)</f>
        <v>0</v>
      </c>
      <c r="M39" s="32"/>
    </row>
    <row r="40" spans="1:21" x14ac:dyDescent="0.2">
      <c r="A40" s="6"/>
      <c r="B40" s="3"/>
      <c r="C40" s="3"/>
      <c r="D40" s="3"/>
      <c r="E40" s="3"/>
      <c r="F40" s="14" t="s">
        <v>31</v>
      </c>
      <c r="G40" s="10">
        <f>SUM($G36:$G39)</f>
        <v>0</v>
      </c>
      <c r="H40" s="10">
        <f>SUM($G36:$G39)</f>
        <v>0</v>
      </c>
      <c r="J40" s="40" t="s">
        <v>93</v>
      </c>
      <c r="K40" s="30" t="s">
        <v>94</v>
      </c>
      <c r="L40" s="49">
        <f>8800+12210+15670+23220</f>
        <v>59900</v>
      </c>
      <c r="M40" s="32" t="s">
        <v>277</v>
      </c>
    </row>
    <row r="41" spans="1:21" x14ac:dyDescent="0.2">
      <c r="A41" s="8" t="s">
        <v>32</v>
      </c>
      <c r="B41" s="3"/>
      <c r="C41" s="3"/>
      <c r="D41" s="3"/>
      <c r="E41" s="3"/>
      <c r="F41" s="5"/>
      <c r="J41" s="40" t="s">
        <v>98</v>
      </c>
      <c r="K41" s="30" t="s">
        <v>95</v>
      </c>
      <c r="L41" s="49">
        <f>SUM(M41:AO41)</f>
        <v>0</v>
      </c>
      <c r="M41" s="32"/>
    </row>
    <row r="42" spans="1:21" x14ac:dyDescent="0.2">
      <c r="A42" s="6"/>
      <c r="B42" s="4" t="s">
        <v>33</v>
      </c>
      <c r="C42" s="3"/>
      <c r="D42" s="3"/>
      <c r="E42" s="3"/>
      <c r="F42" s="5"/>
      <c r="G42" s="10">
        <v>0</v>
      </c>
      <c r="J42" s="40" t="s">
        <v>99</v>
      </c>
      <c r="K42" s="30" t="s">
        <v>96</v>
      </c>
      <c r="L42" s="49">
        <f>SUM(M42:AO42)</f>
        <v>0</v>
      </c>
      <c r="M42" s="32"/>
    </row>
    <row r="43" spans="1:21" x14ac:dyDescent="0.2">
      <c r="A43" s="6"/>
      <c r="B43" s="4" t="s">
        <v>35</v>
      </c>
      <c r="C43" s="3"/>
      <c r="D43" s="3"/>
      <c r="E43" s="3"/>
      <c r="F43" s="5"/>
      <c r="G43" s="10">
        <v>0</v>
      </c>
      <c r="J43" s="40" t="s">
        <v>100</v>
      </c>
      <c r="K43" s="30" t="s">
        <v>97</v>
      </c>
      <c r="L43" s="49">
        <v>194000</v>
      </c>
      <c r="M43" s="32" t="s">
        <v>278</v>
      </c>
    </row>
    <row r="44" spans="1:21" x14ac:dyDescent="0.2">
      <c r="A44" s="6"/>
      <c r="B44" s="4" t="s">
        <v>29</v>
      </c>
      <c r="C44" s="3"/>
      <c r="D44" s="3"/>
      <c r="E44" s="3"/>
      <c r="F44" s="5"/>
      <c r="G44" s="10">
        <f>12210+23220+15670+8800</f>
        <v>59900</v>
      </c>
      <c r="J44" s="40" t="s">
        <v>111</v>
      </c>
      <c r="K44" s="30" t="s">
        <v>65</v>
      </c>
      <c r="L44" s="49">
        <f t="shared" ref="L44:L50" si="3">SUM(M44:AO44)</f>
        <v>0</v>
      </c>
      <c r="M44" s="32"/>
    </row>
    <row r="45" spans="1:21" x14ac:dyDescent="0.2">
      <c r="A45" s="6"/>
      <c r="B45" s="4" t="s">
        <v>36</v>
      </c>
      <c r="C45" s="3"/>
      <c r="D45" s="3"/>
      <c r="E45" s="3"/>
      <c r="F45" s="5"/>
      <c r="G45" s="10">
        <f t="shared" ref="G45" si="4">L41</f>
        <v>0</v>
      </c>
      <c r="J45" s="40" t="s">
        <v>109</v>
      </c>
      <c r="K45" s="30" t="s">
        <v>141</v>
      </c>
      <c r="L45" s="49">
        <v>50000</v>
      </c>
      <c r="M45" s="32" t="s">
        <v>222</v>
      </c>
    </row>
    <row r="46" spans="1:21" x14ac:dyDescent="0.2">
      <c r="A46" s="6"/>
      <c r="B46" s="4" t="s">
        <v>37</v>
      </c>
      <c r="C46" s="3"/>
      <c r="D46" s="3"/>
      <c r="E46" s="3"/>
      <c r="F46" s="5"/>
      <c r="G46" s="10"/>
      <c r="J46" s="40" t="s">
        <v>110</v>
      </c>
      <c r="K46" s="30" t="s">
        <v>65</v>
      </c>
      <c r="L46" s="49">
        <f t="shared" si="3"/>
        <v>0</v>
      </c>
      <c r="M46" s="32"/>
    </row>
    <row r="47" spans="1:21" x14ac:dyDescent="0.2">
      <c r="A47" s="6"/>
      <c r="B47" s="4" t="s">
        <v>38</v>
      </c>
      <c r="C47" s="3"/>
      <c r="D47" s="3"/>
      <c r="E47" s="3"/>
      <c r="F47" s="5"/>
      <c r="G47" s="10">
        <v>194000</v>
      </c>
      <c r="J47" s="40" t="s">
        <v>112</v>
      </c>
      <c r="K47" s="30" t="s">
        <v>116</v>
      </c>
      <c r="L47" s="49">
        <f t="shared" si="3"/>
        <v>0</v>
      </c>
    </row>
    <row r="48" spans="1:21" x14ac:dyDescent="0.2">
      <c r="A48" s="6"/>
      <c r="B48" s="4" t="s">
        <v>175</v>
      </c>
      <c r="C48" s="3"/>
      <c r="D48" s="3"/>
      <c r="E48" s="3"/>
      <c r="F48" s="5"/>
      <c r="G48" s="10">
        <v>0</v>
      </c>
      <c r="J48" s="40" t="s">
        <v>113</v>
      </c>
      <c r="K48" s="30" t="s">
        <v>117</v>
      </c>
      <c r="L48" s="49">
        <f t="shared" si="3"/>
        <v>0</v>
      </c>
    </row>
    <row r="49" spans="1:13" x14ac:dyDescent="0.2">
      <c r="A49" s="8" t="s">
        <v>30</v>
      </c>
      <c r="B49" s="3" t="s">
        <v>209</v>
      </c>
      <c r="C49" s="3"/>
      <c r="D49" s="3"/>
      <c r="E49" s="3"/>
      <c r="F49" s="5"/>
      <c r="G49" s="10">
        <v>0</v>
      </c>
      <c r="J49" s="40" t="s">
        <v>114</v>
      </c>
      <c r="K49" s="30" t="s">
        <v>118</v>
      </c>
      <c r="L49" s="49">
        <f t="shared" si="3"/>
        <v>0</v>
      </c>
      <c r="M49" s="32"/>
    </row>
    <row r="50" spans="1:13" x14ac:dyDescent="0.2">
      <c r="A50" s="8" t="s">
        <v>0</v>
      </c>
      <c r="B50" s="3" t="s">
        <v>208</v>
      </c>
      <c r="C50" s="3"/>
      <c r="D50" s="3"/>
      <c r="E50" s="3"/>
      <c r="F50" s="5"/>
      <c r="G50" s="10">
        <v>50000</v>
      </c>
      <c r="H50" s="9" t="s">
        <v>18</v>
      </c>
      <c r="J50" s="40" t="s">
        <v>115</v>
      </c>
      <c r="K50" s="30" t="s">
        <v>118</v>
      </c>
      <c r="L50" s="49">
        <f t="shared" si="3"/>
        <v>0</v>
      </c>
      <c r="M50" s="32"/>
    </row>
    <row r="51" spans="1:13" x14ac:dyDescent="0.2">
      <c r="A51" s="6"/>
      <c r="B51" s="3"/>
      <c r="C51" s="3"/>
      <c r="D51" s="3"/>
      <c r="E51" s="3"/>
      <c r="F51" s="14" t="s">
        <v>40</v>
      </c>
      <c r="G51" s="10">
        <f>SUM($G42:$G50)</f>
        <v>303900</v>
      </c>
      <c r="H51" s="10">
        <f>SUM($G42:$G50)</f>
        <v>303900</v>
      </c>
      <c r="K51" s="53" t="s">
        <v>124</v>
      </c>
      <c r="L51" s="54">
        <f>SUM(L28:L33)</f>
        <v>143700</v>
      </c>
    </row>
    <row r="52" spans="1:13" x14ac:dyDescent="0.2">
      <c r="A52" s="8" t="s">
        <v>41</v>
      </c>
      <c r="B52" s="3"/>
      <c r="C52" s="3"/>
      <c r="D52" s="3"/>
      <c r="E52" s="3"/>
      <c r="F52" s="5"/>
      <c r="H52" s="61">
        <f>+H51+H34</f>
        <v>447600</v>
      </c>
      <c r="K52" s="53" t="s">
        <v>125</v>
      </c>
      <c r="L52" s="54">
        <f>SUM(L34:L37)</f>
        <v>0</v>
      </c>
    </row>
    <row r="53" spans="1:13" x14ac:dyDescent="0.2">
      <c r="A53" s="6"/>
      <c r="B53" s="4" t="s">
        <v>42</v>
      </c>
      <c r="C53" s="3"/>
      <c r="D53" s="3"/>
      <c r="E53" s="3"/>
      <c r="F53" s="5"/>
      <c r="G53" s="10">
        <f>(H19*5)/100</f>
        <v>19183.55</v>
      </c>
      <c r="K53" s="53" t="s">
        <v>126</v>
      </c>
      <c r="L53" s="54">
        <f>SUM(L38:L46)</f>
        <v>303900</v>
      </c>
    </row>
    <row r="54" spans="1:13" x14ac:dyDescent="0.2">
      <c r="A54" s="6"/>
      <c r="B54" s="4" t="s">
        <v>58</v>
      </c>
      <c r="C54" s="3"/>
      <c r="D54" s="3"/>
      <c r="E54" s="3"/>
      <c r="F54" s="5"/>
      <c r="G54" s="10">
        <f>(H19*5)/100</f>
        <v>19183.55</v>
      </c>
      <c r="K54" s="53" t="s">
        <v>66</v>
      </c>
      <c r="L54" s="54">
        <f>SUM(L28:L50)</f>
        <v>447600</v>
      </c>
    </row>
    <row r="55" spans="1:13" x14ac:dyDescent="0.2">
      <c r="A55" s="6"/>
      <c r="B55" s="4" t="s">
        <v>43</v>
      </c>
      <c r="C55" s="3"/>
      <c r="D55" s="3"/>
      <c r="E55" s="3"/>
      <c r="F55" s="5"/>
      <c r="G55" s="10">
        <f>L49</f>
        <v>0</v>
      </c>
    </row>
    <row r="56" spans="1:13" x14ac:dyDescent="0.2">
      <c r="A56" s="6"/>
      <c r="B56" s="4" t="s">
        <v>57</v>
      </c>
      <c r="C56" s="3"/>
      <c r="D56" s="3"/>
      <c r="E56" s="3"/>
      <c r="F56" s="5"/>
      <c r="G56" s="10">
        <f>L50</f>
        <v>0</v>
      </c>
      <c r="H56" s="9" t="s">
        <v>45</v>
      </c>
    </row>
    <row r="57" spans="1:13" ht="13.5" thickBot="1" x14ac:dyDescent="0.25">
      <c r="A57" s="6"/>
      <c r="B57" s="3"/>
      <c r="C57" s="3"/>
      <c r="D57" s="3"/>
      <c r="E57" s="3"/>
      <c r="F57" s="14" t="s">
        <v>59</v>
      </c>
      <c r="G57" s="10">
        <f>SUM($G53:$G56)</f>
        <v>38367.1</v>
      </c>
      <c r="H57" s="10">
        <f>SUM($G53:$G56)</f>
        <v>38367.1</v>
      </c>
    </row>
    <row r="58" spans="1:13" ht="16.5" thickTop="1" thickBot="1" x14ac:dyDescent="0.3">
      <c r="A58" s="6"/>
      <c r="B58" s="3"/>
      <c r="C58" s="3"/>
      <c r="D58" s="3"/>
      <c r="E58" s="3"/>
      <c r="F58" s="3"/>
      <c r="G58" s="15" t="s">
        <v>44</v>
      </c>
      <c r="H58" s="16">
        <f>H34+H40+H51+H57</f>
        <v>485967.1</v>
      </c>
    </row>
    <row r="59" spans="1:13" ht="14.25" thickTop="1" thickBot="1" x14ac:dyDescent="0.25">
      <c r="A59" s="17"/>
      <c r="B59" s="7"/>
      <c r="C59" s="7"/>
      <c r="D59" s="7"/>
      <c r="E59" s="7"/>
      <c r="F59" s="7"/>
    </row>
    <row r="60" spans="1:13" ht="15" customHeight="1" thickTop="1" x14ac:dyDescent="0.2">
      <c r="A60" s="20" t="s">
        <v>46</v>
      </c>
      <c r="B60" s="21"/>
      <c r="C60" s="21"/>
      <c r="D60" s="21"/>
      <c r="E60" s="21"/>
      <c r="F60" s="21"/>
      <c r="G60" s="22" t="s">
        <v>48</v>
      </c>
      <c r="H60" s="19">
        <f>H24-H58</f>
        <v>-102296.09999999998</v>
      </c>
    </row>
    <row r="61" spans="1:13" ht="15" customHeight="1" x14ac:dyDescent="0.2">
      <c r="A61" s="25" t="s">
        <v>4</v>
      </c>
      <c r="B61" s="26"/>
      <c r="C61" s="3"/>
      <c r="D61" s="3"/>
      <c r="E61" s="3"/>
      <c r="F61" s="3"/>
      <c r="G61" s="5"/>
      <c r="H61" s="10">
        <f>'ENE 23'!H61</f>
        <v>224715.5250000002</v>
      </c>
    </row>
    <row r="62" spans="1:13" ht="15" customHeight="1" thickBot="1" x14ac:dyDescent="0.25">
      <c r="A62" s="20" t="s">
        <v>47</v>
      </c>
      <c r="B62" s="21"/>
      <c r="C62" s="21"/>
      <c r="D62" s="21"/>
      <c r="E62" s="21"/>
      <c r="F62" s="21"/>
      <c r="G62" s="24"/>
      <c r="H62" s="23">
        <f>H60+H61</f>
        <v>122419.42500000022</v>
      </c>
    </row>
    <row r="63" spans="1:13" ht="13.5" thickTop="1" x14ac:dyDescent="0.2"/>
    <row r="67" spans="8:8" x14ac:dyDescent="0.2">
      <c r="H67" s="61"/>
    </row>
  </sheetData>
  <mergeCells count="3">
    <mergeCell ref="A1:H1"/>
    <mergeCell ref="A7:H7"/>
    <mergeCell ref="A26:H26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62"/>
  <sheetViews>
    <sheetView workbookViewId="0">
      <selection activeCell="G9" sqref="G9:G12"/>
    </sheetView>
  </sheetViews>
  <sheetFormatPr baseColWidth="10" defaultRowHeight="12.75" x14ac:dyDescent="0.2"/>
  <cols>
    <col min="1" max="5" width="12.140625" customWidth="1"/>
    <col min="6" max="6" width="13" customWidth="1"/>
    <col min="7" max="7" width="15.5703125" customWidth="1"/>
    <col min="8" max="8" width="13.425781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6" bestFit="1" customWidth="1"/>
    <col min="17" max="17" width="14.7109375" bestFit="1" customWidth="1"/>
  </cols>
  <sheetData>
    <row r="1" spans="1:20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0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0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2023</v>
      </c>
    </row>
    <row r="4" spans="1:20" ht="10.5" customHeight="1" thickBot="1" x14ac:dyDescent="0.25">
      <c r="A4" s="1"/>
    </row>
    <row r="5" spans="1:20" ht="21.75" thickTop="1" thickBot="1" x14ac:dyDescent="0.35">
      <c r="C5" s="18" t="s">
        <v>2</v>
      </c>
      <c r="F5" s="42" t="s">
        <v>131</v>
      </c>
      <c r="G5" s="43"/>
    </row>
    <row r="6" spans="1:20" ht="10.5" customHeight="1" thickTop="1" x14ac:dyDescent="0.2">
      <c r="A6" s="1"/>
      <c r="M6" s="39" t="s">
        <v>67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67</v>
      </c>
      <c r="T6" s="39" t="s">
        <v>68</v>
      </c>
    </row>
    <row r="7" spans="1:20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4</v>
      </c>
      <c r="N7" s="48">
        <v>5</v>
      </c>
      <c r="O7" s="48">
        <f>+M7+7</f>
        <v>11</v>
      </c>
      <c r="P7" s="48">
        <f>+N7+7</f>
        <v>12</v>
      </c>
      <c r="Q7" s="48">
        <f>+O7+7</f>
        <v>18</v>
      </c>
      <c r="R7" s="48">
        <f>+P7+7</f>
        <v>19</v>
      </c>
      <c r="S7" s="48">
        <v>25</v>
      </c>
      <c r="T7" s="48">
        <v>26</v>
      </c>
    </row>
    <row r="8" spans="1:20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210</v>
      </c>
      <c r="L8" s="49">
        <v>86000</v>
      </c>
    </row>
    <row r="9" spans="1:20" x14ac:dyDescent="0.2">
      <c r="A9" s="8" t="s">
        <v>211</v>
      </c>
      <c r="B9" s="3"/>
      <c r="C9" s="3"/>
      <c r="D9" s="3"/>
      <c r="E9" s="3"/>
      <c r="F9" s="5"/>
      <c r="G9" s="10">
        <f>L8</f>
        <v>86000</v>
      </c>
      <c r="J9" s="40" t="s">
        <v>80</v>
      </c>
      <c r="K9" s="30" t="s">
        <v>102</v>
      </c>
      <c r="L9" s="49">
        <f t="shared" ref="L9:L16" si="0">SUM(M9:AN9)</f>
        <v>256037</v>
      </c>
      <c r="M9">
        <v>18070</v>
      </c>
      <c r="N9">
        <f>16390+19560+18560</f>
        <v>54510</v>
      </c>
      <c r="O9">
        <v>9060</v>
      </c>
      <c r="P9">
        <f>10755+16140+14090</f>
        <v>40985</v>
      </c>
      <c r="Q9">
        <v>6330</v>
      </c>
      <c r="R9">
        <f>16762+14620+27450</f>
        <v>58832</v>
      </c>
      <c r="S9">
        <v>24350</v>
      </c>
      <c r="T9">
        <f>29090+1350+13460</f>
        <v>43900</v>
      </c>
    </row>
    <row r="10" spans="1:20" x14ac:dyDescent="0.2">
      <c r="A10" s="8" t="s">
        <v>8</v>
      </c>
      <c r="B10" s="3"/>
      <c r="C10" s="3"/>
      <c r="D10" s="3"/>
      <c r="E10" s="3"/>
      <c r="F10" s="5"/>
      <c r="G10" s="10">
        <f t="shared" ref="G10:G17" si="1">L9</f>
        <v>256037</v>
      </c>
      <c r="J10" s="40" t="s">
        <v>81</v>
      </c>
      <c r="K10" s="30" t="s">
        <v>154</v>
      </c>
      <c r="L10" s="49">
        <f t="shared" si="0"/>
        <v>8000</v>
      </c>
      <c r="Q10">
        <v>6000</v>
      </c>
      <c r="R10">
        <v>2000</v>
      </c>
    </row>
    <row r="11" spans="1:20" x14ac:dyDescent="0.2">
      <c r="A11" s="8" t="s">
        <v>212</v>
      </c>
      <c r="B11" s="3"/>
      <c r="C11" s="3"/>
      <c r="D11" s="3"/>
      <c r="E11" s="3"/>
      <c r="F11" s="5"/>
      <c r="G11" s="10">
        <f t="shared" si="1"/>
        <v>8000</v>
      </c>
      <c r="J11" s="40" t="s">
        <v>107</v>
      </c>
      <c r="K11" s="30" t="s">
        <v>105</v>
      </c>
      <c r="L11" s="49">
        <f t="shared" si="0"/>
        <v>21200</v>
      </c>
      <c r="Q11">
        <v>13000</v>
      </c>
      <c r="R11">
        <v>8200</v>
      </c>
    </row>
    <row r="12" spans="1:20" x14ac:dyDescent="0.2">
      <c r="A12" s="8" t="s">
        <v>10</v>
      </c>
      <c r="B12" s="3"/>
      <c r="C12" s="3"/>
      <c r="D12" s="3"/>
      <c r="E12" s="3"/>
      <c r="F12" s="5"/>
      <c r="G12" s="10">
        <f t="shared" si="1"/>
        <v>21200</v>
      </c>
      <c r="J12" s="40" t="s">
        <v>108</v>
      </c>
      <c r="K12" s="30" t="s">
        <v>104</v>
      </c>
      <c r="L12" s="49">
        <f t="shared" si="0"/>
        <v>0</v>
      </c>
    </row>
    <row r="13" spans="1:20" x14ac:dyDescent="0.2">
      <c r="A13" s="8" t="s">
        <v>71</v>
      </c>
      <c r="B13" s="3"/>
      <c r="C13" s="3"/>
      <c r="D13" s="3"/>
      <c r="E13" s="3"/>
      <c r="F13" s="5"/>
      <c r="G13" s="10">
        <f t="shared" si="1"/>
        <v>0</v>
      </c>
      <c r="H13" s="9"/>
      <c r="J13" s="40" t="s">
        <v>119</v>
      </c>
      <c r="K13" s="30" t="s">
        <v>63</v>
      </c>
      <c r="L13" s="49">
        <f t="shared" si="0"/>
        <v>0</v>
      </c>
    </row>
    <row r="14" spans="1:20" x14ac:dyDescent="0.2">
      <c r="A14" s="8" t="s">
        <v>12</v>
      </c>
      <c r="B14" s="3"/>
      <c r="C14" s="3"/>
      <c r="D14" s="3"/>
      <c r="E14" s="3"/>
      <c r="F14" s="5"/>
      <c r="G14" s="10">
        <f t="shared" si="1"/>
        <v>0</v>
      </c>
      <c r="J14" s="40" t="s">
        <v>120</v>
      </c>
      <c r="K14" s="30" t="s">
        <v>122</v>
      </c>
      <c r="L14" s="49">
        <f t="shared" si="0"/>
        <v>0</v>
      </c>
    </row>
    <row r="15" spans="1:20" x14ac:dyDescent="0.2">
      <c r="A15" s="8" t="s">
        <v>13</v>
      </c>
      <c r="B15" s="3"/>
      <c r="C15" s="3"/>
      <c r="D15" s="3"/>
      <c r="E15" s="3"/>
      <c r="F15" s="5"/>
      <c r="G15" s="10">
        <f t="shared" si="1"/>
        <v>0</v>
      </c>
      <c r="J15" s="40" t="s">
        <v>121</v>
      </c>
      <c r="K15" s="30" t="s">
        <v>123</v>
      </c>
      <c r="L15" s="49">
        <f t="shared" si="0"/>
        <v>0</v>
      </c>
    </row>
    <row r="16" spans="1:20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85</v>
      </c>
      <c r="K16" s="30" t="s">
        <v>106</v>
      </c>
      <c r="L16" s="49">
        <f t="shared" si="0"/>
        <v>0</v>
      </c>
    </row>
    <row r="17" spans="1:20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 t="s">
        <v>11</v>
      </c>
      <c r="K17" s="50" t="s">
        <v>124</v>
      </c>
      <c r="L17" s="51">
        <f>SUM(L8:L16)</f>
        <v>371237</v>
      </c>
    </row>
    <row r="18" spans="1:20" x14ac:dyDescent="0.2">
      <c r="A18" s="11"/>
      <c r="B18" s="12"/>
      <c r="C18" s="12"/>
      <c r="D18" s="12"/>
      <c r="F18" s="13" t="s">
        <v>53</v>
      </c>
      <c r="G18" s="10">
        <f>SUM(G9:G17)</f>
        <v>371237</v>
      </c>
      <c r="H18" s="10">
        <f>SUM(G9:G17)</f>
        <v>371237</v>
      </c>
      <c r="J18" s="40" t="s">
        <v>86</v>
      </c>
      <c r="K18" s="30" t="s">
        <v>118</v>
      </c>
      <c r="L18" s="49">
        <f>SUM(M18:AN18)</f>
        <v>28130</v>
      </c>
      <c r="R18">
        <v>2200</v>
      </c>
      <c r="S18">
        <v>10000</v>
      </c>
      <c r="T18">
        <f>5930+6000+4000</f>
        <v>15930</v>
      </c>
    </row>
    <row r="19" spans="1:20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SUM(M19:AN19)</f>
        <v>0</v>
      </c>
    </row>
    <row r="20" spans="1:20" x14ac:dyDescent="0.2">
      <c r="A20" s="8" t="s">
        <v>178</v>
      </c>
      <c r="B20" s="3"/>
      <c r="C20" s="3"/>
      <c r="D20" s="3" t="s">
        <v>252</v>
      </c>
      <c r="E20" s="3"/>
      <c r="F20" s="3"/>
      <c r="G20" s="10">
        <f>+L18</f>
        <v>28130</v>
      </c>
      <c r="K20" s="50" t="s">
        <v>128</v>
      </c>
      <c r="L20" s="51">
        <f>SUM(L18:L19)</f>
        <v>28130</v>
      </c>
    </row>
    <row r="21" spans="1:20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50" t="s">
        <v>66</v>
      </c>
      <c r="L21" s="51">
        <f>SUM(L17,L20)</f>
        <v>399367</v>
      </c>
      <c r="M21" s="41"/>
      <c r="N21" s="41"/>
    </row>
    <row r="22" spans="1:20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28130</v>
      </c>
      <c r="H22" s="10">
        <f>G22</f>
        <v>28130</v>
      </c>
    </row>
    <row r="23" spans="1:20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399367</v>
      </c>
    </row>
    <row r="24" spans="1:20" ht="10.5" customHeight="1" thickTop="1" x14ac:dyDescent="0.2">
      <c r="A24" s="1"/>
    </row>
    <row r="25" spans="1:20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0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2</v>
      </c>
      <c r="N26" s="48"/>
      <c r="O26" s="48">
        <v>3</v>
      </c>
      <c r="P26" s="48">
        <v>4</v>
      </c>
      <c r="Q26" s="48">
        <v>5</v>
      </c>
      <c r="R26" s="48">
        <v>6</v>
      </c>
      <c r="S26" s="48">
        <v>7</v>
      </c>
      <c r="T26" s="48">
        <v>8</v>
      </c>
    </row>
    <row r="27" spans="1:20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v>30000</v>
      </c>
      <c r="M27" s="32"/>
      <c r="N27" s="32"/>
      <c r="O27" s="32"/>
      <c r="P27" s="32"/>
      <c r="Q27" s="32"/>
      <c r="R27" s="32"/>
      <c r="S27" s="32"/>
      <c r="T27" s="32"/>
    </row>
    <row r="28" spans="1:20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v>0</v>
      </c>
      <c r="M28" s="32"/>
      <c r="N28" s="32"/>
      <c r="O28" s="32"/>
      <c r="P28" s="32"/>
      <c r="Q28" s="32"/>
      <c r="R28" s="32"/>
      <c r="S28" s="32"/>
      <c r="T28" s="32"/>
    </row>
    <row r="29" spans="1:20" x14ac:dyDescent="0.2">
      <c r="A29" s="6"/>
      <c r="B29" s="4" t="s">
        <v>21</v>
      </c>
      <c r="C29" s="3"/>
      <c r="D29" s="3"/>
      <c r="E29" s="3"/>
      <c r="F29" s="3"/>
      <c r="G29" s="10">
        <f>+L29</f>
        <v>20000</v>
      </c>
      <c r="J29" s="40" t="s">
        <v>81</v>
      </c>
      <c r="K29" s="30" t="s">
        <v>70</v>
      </c>
      <c r="L29" s="49">
        <v>20000</v>
      </c>
      <c r="M29" s="32"/>
      <c r="N29" s="32"/>
      <c r="O29" s="32"/>
      <c r="P29" s="32"/>
      <c r="Q29" s="32"/>
      <c r="R29" s="32"/>
      <c r="S29" s="32"/>
      <c r="T29" s="32"/>
    </row>
    <row r="30" spans="1:20" x14ac:dyDescent="0.2">
      <c r="A30" s="6"/>
      <c r="B30" s="4" t="s">
        <v>193</v>
      </c>
      <c r="C30" s="3"/>
      <c r="D30" s="3"/>
      <c r="E30" s="3"/>
      <c r="F30" s="3"/>
      <c r="G30" s="10">
        <v>0</v>
      </c>
      <c r="J30" s="40" t="s">
        <v>82</v>
      </c>
      <c r="K30" t="s">
        <v>149</v>
      </c>
      <c r="L30" s="49">
        <f>SUM(M30:AN30)</f>
        <v>0</v>
      </c>
      <c r="M30" s="32" t="s">
        <v>177</v>
      </c>
      <c r="N30" s="32"/>
      <c r="O30" s="32"/>
      <c r="P30" s="32"/>
      <c r="Q30" s="32"/>
      <c r="R30" s="32"/>
      <c r="S30" s="32"/>
      <c r="T30" s="32"/>
    </row>
    <row r="31" spans="1:20" x14ac:dyDescent="0.2">
      <c r="A31" s="6"/>
      <c r="B31" s="4" t="s">
        <v>22</v>
      </c>
      <c r="C31" s="3"/>
      <c r="D31" s="3"/>
      <c r="E31" s="3"/>
      <c r="F31" s="3"/>
      <c r="G31" s="10">
        <f>+L31+L27</f>
        <v>80000</v>
      </c>
      <c r="J31" s="40" t="s">
        <v>84</v>
      </c>
      <c r="K31" t="s">
        <v>73</v>
      </c>
      <c r="L31" s="49">
        <f>SUM(M31:AN31)</f>
        <v>50000</v>
      </c>
      <c r="M31">
        <v>50000</v>
      </c>
      <c r="O31" s="32"/>
      <c r="P31" s="32"/>
      <c r="Q31" s="32"/>
      <c r="R31" s="32"/>
      <c r="S31" s="32"/>
      <c r="T31" s="32"/>
    </row>
    <row r="32" spans="1:20" x14ac:dyDescent="0.2">
      <c r="A32" s="6"/>
      <c r="B32" s="4" t="s">
        <v>55</v>
      </c>
      <c r="C32" s="3"/>
      <c r="D32" s="3"/>
      <c r="E32" s="3"/>
      <c r="F32" s="3"/>
      <c r="G32" s="10">
        <f>+L32</f>
        <v>33700</v>
      </c>
      <c r="H32" s="9" t="s">
        <v>11</v>
      </c>
      <c r="J32" s="40" t="s">
        <v>85</v>
      </c>
      <c r="K32" t="s">
        <v>74</v>
      </c>
      <c r="L32" s="49">
        <f>+'0223'!G33</f>
        <v>33700</v>
      </c>
      <c r="O32" s="32"/>
      <c r="P32" s="32"/>
      <c r="Q32" s="32"/>
      <c r="R32" s="32"/>
      <c r="S32" s="32"/>
      <c r="T32" s="32"/>
    </row>
    <row r="33" spans="1:20" x14ac:dyDescent="0.2">
      <c r="A33" s="6"/>
      <c r="B33" s="3"/>
      <c r="C33" s="3"/>
      <c r="D33" s="3"/>
      <c r="E33" s="3"/>
      <c r="F33" s="14" t="s">
        <v>23</v>
      </c>
      <c r="G33" s="10">
        <f>SUM($G27:$G32)</f>
        <v>163700</v>
      </c>
      <c r="H33" s="10">
        <f>SUM($G27:$G32)</f>
        <v>163700</v>
      </c>
      <c r="J33" s="40" t="s">
        <v>86</v>
      </c>
      <c r="K33" s="58" t="s">
        <v>75</v>
      </c>
      <c r="L33" s="49">
        <f>SUM(M33:AN33)</f>
        <v>0</v>
      </c>
      <c r="M33" s="32"/>
      <c r="N33" s="32"/>
      <c r="O33" s="32"/>
      <c r="P33" s="32"/>
      <c r="Q33" s="32"/>
      <c r="R33" s="32"/>
      <c r="S33" s="32"/>
      <c r="T33" s="32"/>
    </row>
    <row r="34" spans="1:20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>SUM(M34:AN34)</f>
        <v>0</v>
      </c>
      <c r="M34" s="32"/>
      <c r="N34" s="32"/>
      <c r="O34" s="32"/>
      <c r="P34" s="32"/>
      <c r="Q34" s="32"/>
      <c r="R34" s="32"/>
      <c r="S34" s="32"/>
      <c r="T34" s="32"/>
    </row>
    <row r="35" spans="1:20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>SUM(M35:AN35)</f>
        <v>0</v>
      </c>
      <c r="M35" s="32"/>
      <c r="N35" s="32"/>
      <c r="O35" s="32"/>
      <c r="P35" s="32"/>
      <c r="Q35" s="32"/>
      <c r="R35" s="32"/>
      <c r="S35" s="32"/>
      <c r="T35" s="32"/>
    </row>
    <row r="36" spans="1:20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>SUM(M36:AN36)</f>
        <v>0</v>
      </c>
      <c r="M36" s="32"/>
      <c r="N36" s="32"/>
      <c r="O36" s="32"/>
      <c r="P36" s="32"/>
      <c r="Q36" s="32"/>
      <c r="R36" s="32"/>
      <c r="S36" s="32"/>
      <c r="T36" s="32"/>
    </row>
    <row r="37" spans="1:20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f>SUM(M37:AN37)</f>
        <v>0</v>
      </c>
      <c r="M37" s="30"/>
      <c r="N37" s="30"/>
      <c r="O37" s="30"/>
      <c r="P37" s="30"/>
      <c r="Q37" s="30"/>
      <c r="R37" s="30"/>
      <c r="S37" s="30"/>
      <c r="T37" s="30"/>
    </row>
    <row r="38" spans="1:20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/>
    </row>
    <row r="39" spans="1:20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>+N39+P39+Q39</f>
        <v>179100</v>
      </c>
      <c r="M39" t="s">
        <v>279</v>
      </c>
      <c r="N39">
        <v>111000</v>
      </c>
      <c r="O39" t="s">
        <v>280</v>
      </c>
      <c r="P39">
        <v>50000</v>
      </c>
      <c r="Q39" s="74">
        <f>11500+6600</f>
        <v>18100</v>
      </c>
      <c r="R39" t="s">
        <v>172</v>
      </c>
    </row>
    <row r="40" spans="1:20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/>
    </row>
    <row r="41" spans="1:20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96</v>
      </c>
      <c r="L41" s="49">
        <f>SUM(M41:AN41)</f>
        <v>0</v>
      </c>
    </row>
    <row r="42" spans="1:20" x14ac:dyDescent="0.2">
      <c r="A42" s="6"/>
      <c r="B42" s="4" t="s">
        <v>35</v>
      </c>
      <c r="C42" s="3"/>
      <c r="D42" s="3"/>
      <c r="E42" s="3"/>
      <c r="F42" s="5"/>
      <c r="G42" s="10">
        <f>+L38</f>
        <v>0</v>
      </c>
      <c r="J42" s="40" t="s">
        <v>100</v>
      </c>
      <c r="K42" s="30" t="s">
        <v>97</v>
      </c>
      <c r="L42" s="49">
        <f>SUM(M42:AN42)</f>
        <v>0</v>
      </c>
    </row>
    <row r="43" spans="1:20" x14ac:dyDescent="0.2">
      <c r="A43" s="6"/>
      <c r="B43" s="4" t="s">
        <v>29</v>
      </c>
      <c r="C43" s="3"/>
      <c r="D43" s="3"/>
      <c r="E43" s="3"/>
      <c r="F43" s="5"/>
      <c r="G43" s="10">
        <f>+L39</f>
        <v>179100</v>
      </c>
      <c r="J43" s="40" t="s">
        <v>111</v>
      </c>
      <c r="K43" s="30" t="s">
        <v>65</v>
      </c>
      <c r="L43" s="49">
        <v>160000</v>
      </c>
    </row>
    <row r="44" spans="1:20" x14ac:dyDescent="0.2">
      <c r="A44" s="6"/>
      <c r="B44" s="4" t="s">
        <v>253</v>
      </c>
      <c r="C44" s="3"/>
      <c r="D44" s="3"/>
      <c r="E44" s="3" t="s">
        <v>281</v>
      </c>
      <c r="F44" s="5"/>
      <c r="G44" s="10">
        <v>160000</v>
      </c>
      <c r="J44" s="40" t="s">
        <v>109</v>
      </c>
      <c r="K44" s="30" t="s">
        <v>141</v>
      </c>
      <c r="L44" s="49">
        <v>0</v>
      </c>
    </row>
    <row r="45" spans="1:20" x14ac:dyDescent="0.2">
      <c r="A45" s="6"/>
      <c r="B45" s="4" t="s">
        <v>37</v>
      </c>
      <c r="C45" s="3"/>
      <c r="D45" s="3"/>
      <c r="E45" s="3"/>
      <c r="F45" s="5"/>
      <c r="G45" s="10">
        <v>0</v>
      </c>
      <c r="J45" s="40" t="s">
        <v>110</v>
      </c>
      <c r="K45" s="30" t="s">
        <v>65</v>
      </c>
      <c r="L45" s="49">
        <f>SUM(M45:AN45)</f>
        <v>0</v>
      </c>
    </row>
    <row r="46" spans="1:20" x14ac:dyDescent="0.2">
      <c r="A46" s="6"/>
      <c r="B46" s="4" t="s">
        <v>38</v>
      </c>
      <c r="C46" s="3"/>
      <c r="D46" s="3"/>
      <c r="E46" s="3"/>
      <c r="F46" s="5"/>
      <c r="G46" s="10">
        <f t="shared" ref="G46:G49" si="2">L42</f>
        <v>0</v>
      </c>
      <c r="J46" s="40" t="s">
        <v>112</v>
      </c>
      <c r="K46" s="30" t="s">
        <v>116</v>
      </c>
      <c r="L46" s="49">
        <f>SUM(M46:AN46)</f>
        <v>0</v>
      </c>
    </row>
    <row r="47" spans="1:20" x14ac:dyDescent="0.2">
      <c r="A47" s="6"/>
      <c r="B47" s="4" t="s">
        <v>129</v>
      </c>
      <c r="C47" s="3"/>
      <c r="D47" s="3"/>
      <c r="E47" s="3"/>
      <c r="F47" s="5" t="s">
        <v>208</v>
      </c>
      <c r="G47" s="10">
        <v>50000</v>
      </c>
      <c r="J47" s="40" t="s">
        <v>113</v>
      </c>
      <c r="K47" s="30" t="s">
        <v>117</v>
      </c>
      <c r="L47" s="49">
        <f>SUM(M47:AN47)</f>
        <v>0</v>
      </c>
    </row>
    <row r="48" spans="1:20" x14ac:dyDescent="0.2">
      <c r="A48" s="8" t="s">
        <v>30</v>
      </c>
      <c r="B48" s="3" t="s">
        <v>176</v>
      </c>
      <c r="C48" s="3"/>
      <c r="D48" s="3"/>
      <c r="E48" s="3"/>
      <c r="F48" s="5"/>
      <c r="G48" s="10">
        <f t="shared" si="2"/>
        <v>0</v>
      </c>
      <c r="J48" s="40" t="s">
        <v>114</v>
      </c>
      <c r="K48" s="30" t="s">
        <v>118</v>
      </c>
      <c r="L48" s="49">
        <f>SUM(M48:AN48)</f>
        <v>0</v>
      </c>
    </row>
    <row r="49" spans="1:12" x14ac:dyDescent="0.2">
      <c r="A49" s="8" t="s">
        <v>0</v>
      </c>
      <c r="B49" s="3"/>
      <c r="C49" s="3"/>
      <c r="D49" s="3"/>
      <c r="E49" s="3"/>
      <c r="F49" s="5"/>
      <c r="G49" s="10">
        <f t="shared" si="2"/>
        <v>0</v>
      </c>
      <c r="H49" s="9" t="s">
        <v>18</v>
      </c>
      <c r="J49" s="40" t="s">
        <v>115</v>
      </c>
      <c r="K49" s="30" t="s">
        <v>118</v>
      </c>
      <c r="L49" s="49">
        <f>SUM(M49:AN49)</f>
        <v>0</v>
      </c>
    </row>
    <row r="50" spans="1:12" x14ac:dyDescent="0.2">
      <c r="A50" s="6"/>
      <c r="B50" s="3"/>
      <c r="C50" s="3"/>
      <c r="D50" s="3"/>
      <c r="E50" s="3"/>
      <c r="F50" s="14" t="s">
        <v>40</v>
      </c>
      <c r="G50" s="10">
        <f>SUM($G41:$G49)</f>
        <v>389100</v>
      </c>
      <c r="H50" s="10">
        <f>SUM($G41:$G49)</f>
        <v>389100</v>
      </c>
      <c r="K50" s="53" t="s">
        <v>124</v>
      </c>
      <c r="L50" s="54">
        <f>SUM(L27:L32)</f>
        <v>133700</v>
      </c>
    </row>
    <row r="51" spans="1:12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2" x14ac:dyDescent="0.2">
      <c r="A52" s="6"/>
      <c r="B52" s="4" t="s">
        <v>42</v>
      </c>
      <c r="C52" s="3"/>
      <c r="D52" s="3"/>
      <c r="E52" s="3"/>
      <c r="F52" s="5"/>
      <c r="G52" s="10">
        <f>(H18*5)/100</f>
        <v>18561.849999999999</v>
      </c>
      <c r="K52" s="53" t="s">
        <v>126</v>
      </c>
      <c r="L52" s="54">
        <f>SUM(L37:L45)</f>
        <v>339100</v>
      </c>
    </row>
    <row r="53" spans="1:12" x14ac:dyDescent="0.2">
      <c r="A53" s="6"/>
      <c r="B53" s="4" t="s">
        <v>58</v>
      </c>
      <c r="C53" s="3"/>
      <c r="D53" s="3"/>
      <c r="E53" s="3"/>
      <c r="F53" s="5"/>
      <c r="G53" s="10">
        <f>(H18*5)/100</f>
        <v>18561.849999999999</v>
      </c>
      <c r="K53" s="53" t="s">
        <v>66</v>
      </c>
      <c r="L53" s="54">
        <f>SUM(L27:L49)</f>
        <v>472800</v>
      </c>
    </row>
    <row r="54" spans="1:12" x14ac:dyDescent="0.2">
      <c r="A54" s="6"/>
      <c r="B54" s="4" t="s">
        <v>43</v>
      </c>
      <c r="C54" s="3"/>
      <c r="D54" s="3"/>
      <c r="E54" s="3" t="s">
        <v>252</v>
      </c>
      <c r="F54" s="5"/>
      <c r="G54" s="10">
        <f>+G20</f>
        <v>28130</v>
      </c>
    </row>
    <row r="55" spans="1:12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2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65253.7</v>
      </c>
      <c r="H56" s="10">
        <f>SUM($G52:$G55)</f>
        <v>65253.7</v>
      </c>
    </row>
    <row r="57" spans="1:12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618053.69999999995</v>
      </c>
    </row>
    <row r="58" spans="1:12" ht="14.25" thickTop="1" thickBot="1" x14ac:dyDescent="0.25">
      <c r="A58" s="17"/>
      <c r="B58" s="7"/>
      <c r="C58" s="7"/>
      <c r="D58" s="7"/>
      <c r="E58" s="7"/>
      <c r="F58" s="7"/>
    </row>
    <row r="59" spans="1:12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-218686.69999999995</v>
      </c>
    </row>
    <row r="60" spans="1:12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+'0223'!H62</f>
        <v>122419.42500000022</v>
      </c>
    </row>
    <row r="61" spans="1:12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-96267.274999999732</v>
      </c>
    </row>
    <row r="62" spans="1:12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62"/>
  <sheetViews>
    <sheetView topLeftCell="A7" workbookViewId="0">
      <selection activeCell="G50" sqref="G50"/>
    </sheetView>
  </sheetViews>
  <sheetFormatPr baseColWidth="10" defaultRowHeight="12.75" x14ac:dyDescent="0.2"/>
  <cols>
    <col min="1" max="6" width="12.140625" customWidth="1"/>
    <col min="7" max="7" width="14" customWidth="1"/>
    <col min="8" max="8" width="13.42578125" customWidth="1"/>
    <col min="9" max="9" width="4.5703125" customWidth="1"/>
    <col min="10" max="10" width="2.5703125" bestFit="1" customWidth="1"/>
    <col min="11" max="11" width="52.140625" bestFit="1" customWidth="1"/>
    <col min="12" max="12" width="16.5703125" customWidth="1"/>
    <col min="13" max="13" width="14.85546875" bestFit="1" customWidth="1"/>
  </cols>
  <sheetData>
    <row r="1" spans="1:24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4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4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2023</v>
      </c>
    </row>
    <row r="4" spans="1:24" ht="10.5" customHeight="1" thickBot="1" x14ac:dyDescent="0.25">
      <c r="A4" s="1"/>
    </row>
    <row r="5" spans="1:24" ht="21.75" thickTop="1" thickBot="1" x14ac:dyDescent="0.35">
      <c r="C5" s="18" t="s">
        <v>2</v>
      </c>
      <c r="F5" s="42" t="s">
        <v>134</v>
      </c>
      <c r="G5" s="43"/>
    </row>
    <row r="6" spans="1:24" ht="10.5" customHeight="1" thickTop="1" x14ac:dyDescent="0.2">
      <c r="A6" s="1"/>
      <c r="M6" s="39" t="s">
        <v>254</v>
      </c>
      <c r="N6" s="39" t="s">
        <v>255</v>
      </c>
      <c r="O6" s="39"/>
      <c r="P6" s="39"/>
      <c r="Q6" s="39" t="s">
        <v>67</v>
      </c>
      <c r="R6" s="39" t="s">
        <v>68</v>
      </c>
      <c r="S6" s="39" t="s">
        <v>188</v>
      </c>
      <c r="T6" s="39" t="s">
        <v>213</v>
      </c>
      <c r="U6" s="39" t="s">
        <v>188</v>
      </c>
      <c r="V6" s="39" t="s">
        <v>213</v>
      </c>
      <c r="W6" s="39" t="s">
        <v>188</v>
      </c>
      <c r="X6" s="39" t="s">
        <v>68</v>
      </c>
    </row>
    <row r="7" spans="1:24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1</v>
      </c>
      <c r="N7" s="48">
        <v>2</v>
      </c>
      <c r="O7" s="48">
        <v>6</v>
      </c>
      <c r="P7" s="48">
        <v>7</v>
      </c>
      <c r="Q7" s="48">
        <f>+M7+7</f>
        <v>8</v>
      </c>
      <c r="R7" s="48">
        <f>+N7+7</f>
        <v>9</v>
      </c>
      <c r="S7" s="48">
        <f>+Q7+7</f>
        <v>15</v>
      </c>
      <c r="T7" s="48">
        <f>+R7+7</f>
        <v>16</v>
      </c>
      <c r="U7" s="48">
        <f t="shared" ref="U7:V7" si="0">+S7+7</f>
        <v>22</v>
      </c>
      <c r="V7" s="48">
        <f t="shared" si="0"/>
        <v>23</v>
      </c>
      <c r="W7" s="48">
        <f>+U7+7</f>
        <v>29</v>
      </c>
      <c r="X7" s="48">
        <v>30</v>
      </c>
    </row>
    <row r="8" spans="1:24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214</v>
      </c>
      <c r="L8" s="49">
        <v>74000</v>
      </c>
      <c r="M8">
        <v>0</v>
      </c>
    </row>
    <row r="9" spans="1:24" x14ac:dyDescent="0.2">
      <c r="A9" s="8" t="s">
        <v>215</v>
      </c>
      <c r="B9" s="3"/>
      <c r="C9" s="3"/>
      <c r="D9" s="3"/>
      <c r="E9" s="3"/>
      <c r="F9" s="5"/>
      <c r="G9" s="10">
        <f>L8</f>
        <v>74000</v>
      </c>
      <c r="J9" s="40" t="s">
        <v>80</v>
      </c>
      <c r="K9" s="30" t="s">
        <v>102</v>
      </c>
      <c r="L9" s="49">
        <f>SUM(M9:AP9)</f>
        <v>481280</v>
      </c>
      <c r="M9">
        <v>7360</v>
      </c>
      <c r="N9">
        <f>21100+54870+300+24530</f>
        <v>100800</v>
      </c>
      <c r="O9">
        <v>34730</v>
      </c>
      <c r="Q9">
        <v>44100</v>
      </c>
      <c r="R9">
        <f>20020+41260+1000+16580</f>
        <v>78860</v>
      </c>
      <c r="S9">
        <f>40000+5180</f>
        <v>45180</v>
      </c>
      <c r="T9">
        <f>12470+18230+18780</f>
        <v>49480</v>
      </c>
      <c r="U9">
        <v>11880</v>
      </c>
      <c r="V9">
        <f>15160+16790+20500</f>
        <v>52450</v>
      </c>
      <c r="W9">
        <v>9080</v>
      </c>
      <c r="X9">
        <f>16000+17270+14090</f>
        <v>47360</v>
      </c>
    </row>
    <row r="10" spans="1:24" x14ac:dyDescent="0.2">
      <c r="A10" s="8" t="s">
        <v>8</v>
      </c>
      <c r="B10" s="3"/>
      <c r="C10" s="3"/>
      <c r="D10" s="3"/>
      <c r="E10" s="3"/>
      <c r="F10" s="5"/>
      <c r="G10" s="10">
        <f>+L9</f>
        <v>481280</v>
      </c>
      <c r="J10" s="40" t="s">
        <v>81</v>
      </c>
      <c r="K10" s="30" t="s">
        <v>154</v>
      </c>
      <c r="L10" s="49">
        <f>SUM(M10:X10)</f>
        <v>2500</v>
      </c>
      <c r="T10">
        <v>2500</v>
      </c>
    </row>
    <row r="11" spans="1:24" x14ac:dyDescent="0.2">
      <c r="A11" s="8" t="s">
        <v>216</v>
      </c>
      <c r="B11" s="3"/>
      <c r="C11" s="3"/>
      <c r="D11" s="3"/>
      <c r="E11" s="3"/>
      <c r="F11" s="5"/>
      <c r="G11" s="10">
        <f t="shared" ref="G11:G17" si="1">L10</f>
        <v>2500</v>
      </c>
      <c r="J11" s="40" t="s">
        <v>107</v>
      </c>
      <c r="K11" s="30" t="s">
        <v>105</v>
      </c>
      <c r="L11" s="49">
        <f>SUM(M11:AP11)</f>
        <v>25000</v>
      </c>
      <c r="S11">
        <v>8000</v>
      </c>
      <c r="T11">
        <v>5000</v>
      </c>
      <c r="U11">
        <v>9000</v>
      </c>
      <c r="V11">
        <v>0</v>
      </c>
      <c r="W11">
        <v>3000</v>
      </c>
    </row>
    <row r="12" spans="1:24" x14ac:dyDescent="0.2">
      <c r="A12" s="8" t="s">
        <v>10</v>
      </c>
      <c r="B12" s="3"/>
      <c r="C12" s="3"/>
      <c r="D12" s="3"/>
      <c r="E12" s="3"/>
      <c r="F12" s="5"/>
      <c r="G12" s="10">
        <f t="shared" si="1"/>
        <v>25000</v>
      </c>
      <c r="J12" s="40" t="s">
        <v>108</v>
      </c>
      <c r="K12" s="30" t="s">
        <v>104</v>
      </c>
      <c r="L12" s="49">
        <f>SUM(M12:AP12)</f>
        <v>0</v>
      </c>
    </row>
    <row r="13" spans="1:24" x14ac:dyDescent="0.2">
      <c r="A13" s="8" t="s">
        <v>71</v>
      </c>
      <c r="B13" s="3"/>
      <c r="C13" s="3"/>
      <c r="D13" s="3"/>
      <c r="E13" s="3"/>
      <c r="F13" s="5"/>
      <c r="G13" s="10">
        <f t="shared" si="1"/>
        <v>0</v>
      </c>
      <c r="H13" s="79">
        <f>SUM(G9:G13)</f>
        <v>582780</v>
      </c>
      <c r="J13" s="40" t="s">
        <v>119</v>
      </c>
      <c r="K13" s="30" t="s">
        <v>63</v>
      </c>
      <c r="L13" s="49">
        <f>SUM(M13:AP13)</f>
        <v>0</v>
      </c>
    </row>
    <row r="14" spans="1:24" x14ac:dyDescent="0.2">
      <c r="A14" s="8" t="s">
        <v>12</v>
      </c>
      <c r="B14" s="3"/>
      <c r="C14" s="3"/>
      <c r="D14" s="3"/>
      <c r="E14" s="3"/>
      <c r="F14" s="5"/>
      <c r="G14" s="10">
        <f t="shared" si="1"/>
        <v>0</v>
      </c>
      <c r="J14" s="40" t="s">
        <v>120</v>
      </c>
      <c r="K14" s="30" t="s">
        <v>122</v>
      </c>
      <c r="L14" s="49">
        <f>SUM(M14:AP14)</f>
        <v>0</v>
      </c>
    </row>
    <row r="15" spans="1:24" x14ac:dyDescent="0.2">
      <c r="A15" s="8" t="s">
        <v>13</v>
      </c>
      <c r="B15" s="3" t="s">
        <v>183</v>
      </c>
      <c r="C15" s="3"/>
      <c r="D15" s="3"/>
      <c r="E15" s="3"/>
      <c r="F15" s="5"/>
      <c r="G15" s="10"/>
      <c r="J15" s="40" t="s">
        <v>121</v>
      </c>
      <c r="K15" s="30" t="s">
        <v>182</v>
      </c>
      <c r="L15" s="49"/>
    </row>
    <row r="16" spans="1:24" x14ac:dyDescent="0.2">
      <c r="A16" s="8" t="s">
        <v>13</v>
      </c>
      <c r="B16" s="3" t="s">
        <v>184</v>
      </c>
      <c r="C16" s="3"/>
      <c r="D16" s="3"/>
      <c r="E16" s="3"/>
      <c r="F16" s="5"/>
      <c r="G16" s="10"/>
      <c r="J16" s="40" t="s">
        <v>85</v>
      </c>
      <c r="K16" s="30" t="s">
        <v>106</v>
      </c>
      <c r="L16" s="49">
        <f>SUM(M16:AP16)</f>
        <v>0</v>
      </c>
    </row>
    <row r="17" spans="1:23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/>
      <c r="K17" s="50" t="s">
        <v>124</v>
      </c>
      <c r="L17" s="51">
        <f>SUM(L8:L16)</f>
        <v>582780</v>
      </c>
    </row>
    <row r="18" spans="1:23" x14ac:dyDescent="0.2">
      <c r="A18" s="11"/>
      <c r="B18" s="12"/>
      <c r="C18" s="12"/>
      <c r="D18" s="12"/>
      <c r="F18" s="13" t="s">
        <v>53</v>
      </c>
      <c r="G18" s="10">
        <f>+G15+G16</f>
        <v>0</v>
      </c>
      <c r="H18" s="10"/>
      <c r="J18" s="40" t="s">
        <v>86</v>
      </c>
      <c r="K18" s="30" t="s">
        <v>118</v>
      </c>
      <c r="L18" s="49">
        <f>SUM(M18:AP18)</f>
        <v>52370</v>
      </c>
      <c r="P18">
        <v>52370</v>
      </c>
    </row>
    <row r="19" spans="1:23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SUM(M19:AP19)</f>
        <v>0</v>
      </c>
    </row>
    <row r="20" spans="1:23" x14ac:dyDescent="0.2">
      <c r="A20" s="8" t="s">
        <v>284</v>
      </c>
      <c r="B20" s="3"/>
      <c r="C20" s="3"/>
      <c r="D20" s="3"/>
      <c r="E20" s="3"/>
      <c r="F20" s="3"/>
      <c r="G20" s="10">
        <f>+L18</f>
        <v>52370</v>
      </c>
      <c r="K20" s="50" t="s">
        <v>128</v>
      </c>
      <c r="L20" s="51">
        <f>SUM(L18:L19)</f>
        <v>52370</v>
      </c>
    </row>
    <row r="21" spans="1:23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/>
      <c r="K21" s="50" t="s">
        <v>66</v>
      </c>
      <c r="L21" s="51">
        <f>SUM(L17,L20)</f>
        <v>635150</v>
      </c>
      <c r="N21" s="41"/>
      <c r="O21" s="41"/>
      <c r="P21" s="41"/>
    </row>
    <row r="22" spans="1:23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52370</v>
      </c>
      <c r="H22" s="10">
        <f>G22</f>
        <v>52370</v>
      </c>
    </row>
    <row r="23" spans="1:23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+H13+H22</f>
        <v>635150</v>
      </c>
    </row>
    <row r="24" spans="1:23" ht="10.5" customHeight="1" thickTop="1" x14ac:dyDescent="0.2">
      <c r="A24" s="1"/>
    </row>
    <row r="25" spans="1:23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3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>
        <v>2</v>
      </c>
      <c r="O26" s="48"/>
      <c r="P26" s="48"/>
      <c r="Q26" s="48">
        <v>3</v>
      </c>
      <c r="R26" s="48">
        <v>4</v>
      </c>
      <c r="S26" s="48">
        <v>5</v>
      </c>
      <c r="T26" s="48">
        <v>6</v>
      </c>
      <c r="U26" s="48">
        <v>7</v>
      </c>
      <c r="V26" s="48">
        <v>8</v>
      </c>
      <c r="W26" s="48">
        <v>9</v>
      </c>
    </row>
    <row r="27" spans="1:23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v>30000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>SUM(M28:AP28)</f>
        <v>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x14ac:dyDescent="0.2">
      <c r="A29" s="6"/>
      <c r="B29" s="4" t="s">
        <v>21</v>
      </c>
      <c r="C29" s="3"/>
      <c r="D29" s="3"/>
      <c r="E29" s="3"/>
      <c r="F29" s="3"/>
      <c r="G29" s="10">
        <v>20000</v>
      </c>
      <c r="J29" s="40" t="s">
        <v>81</v>
      </c>
      <c r="K29" s="30" t="s">
        <v>257</v>
      </c>
      <c r="L29" s="49">
        <v>20000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2">
      <c r="A30" s="6"/>
      <c r="B30" s="4" t="s">
        <v>193</v>
      </c>
      <c r="C30" s="3"/>
      <c r="D30" s="3"/>
      <c r="E30" s="3"/>
      <c r="F30" s="3"/>
      <c r="G30" s="10">
        <v>0</v>
      </c>
      <c r="J30" s="40" t="s">
        <v>82</v>
      </c>
      <c r="K30" t="s">
        <v>149</v>
      </c>
      <c r="L30" s="49">
        <f>SUM(M30:AP30)</f>
        <v>0</v>
      </c>
      <c r="M30" s="32" t="s">
        <v>180</v>
      </c>
      <c r="N30" s="32" t="s">
        <v>181</v>
      </c>
      <c r="O30" s="32"/>
      <c r="P30" s="32"/>
      <c r="Q30" s="32"/>
      <c r="R30" s="32"/>
      <c r="S30" s="32"/>
      <c r="T30" s="32"/>
      <c r="U30" s="32"/>
      <c r="V30" s="32"/>
      <c r="W30" s="32"/>
    </row>
    <row r="31" spans="1:23" x14ac:dyDescent="0.2">
      <c r="A31" s="6"/>
      <c r="B31" s="4" t="s">
        <v>22</v>
      </c>
      <c r="C31" s="3"/>
      <c r="D31" s="3"/>
      <c r="E31" s="3"/>
      <c r="F31" s="3"/>
      <c r="G31" s="10">
        <f>+L31</f>
        <v>80000</v>
      </c>
      <c r="J31" s="40" t="s">
        <v>84</v>
      </c>
      <c r="K31" t="s">
        <v>73</v>
      </c>
      <c r="L31" s="49">
        <f>SUM(M31:N31)</f>
        <v>80000</v>
      </c>
      <c r="M31" s="32">
        <v>30000</v>
      </c>
      <c r="N31" s="30">
        <v>50000</v>
      </c>
      <c r="O31" s="30"/>
      <c r="P31" s="30"/>
      <c r="Q31" s="30"/>
      <c r="R31" s="30"/>
      <c r="S31" s="30"/>
      <c r="T31" s="32"/>
      <c r="U31" s="32"/>
      <c r="V31" s="32"/>
      <c r="W31" s="32"/>
    </row>
    <row r="32" spans="1:23" x14ac:dyDescent="0.2">
      <c r="A32" s="6"/>
      <c r="B32" s="4" t="s">
        <v>55</v>
      </c>
      <c r="C32" s="3"/>
      <c r="D32" s="3"/>
      <c r="E32" s="3"/>
      <c r="F32" s="3"/>
      <c r="G32" s="10">
        <v>39000</v>
      </c>
      <c r="H32" s="9" t="s">
        <v>11</v>
      </c>
      <c r="J32" s="40" t="s">
        <v>85</v>
      </c>
      <c r="K32" t="s">
        <v>74</v>
      </c>
      <c r="L32" s="49">
        <v>39000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x14ac:dyDescent="0.2">
      <c r="A33" s="6"/>
      <c r="B33" s="3"/>
      <c r="C33" s="3"/>
      <c r="D33" s="3"/>
      <c r="E33" s="3"/>
      <c r="F33" s="14" t="s">
        <v>23</v>
      </c>
      <c r="G33" s="10">
        <f>SUM($G27:$G32)</f>
        <v>169000</v>
      </c>
      <c r="H33" s="10">
        <f>SUM($G27:$G32)</f>
        <v>169000</v>
      </c>
      <c r="J33" s="40" t="s">
        <v>86</v>
      </c>
      <c r="K33" s="58" t="s">
        <v>75</v>
      </c>
      <c r="L33" s="49">
        <f>SUM(M33:AP33)</f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>SUM(M34:AP34)</f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v>0</v>
      </c>
      <c r="M35" s="74"/>
      <c r="N35" s="74"/>
      <c r="O35" s="74"/>
      <c r="P35" s="74"/>
      <c r="Q35" s="74"/>
      <c r="R35" s="74"/>
      <c r="S35" s="32"/>
      <c r="T35" s="32"/>
      <c r="U35" s="32"/>
      <c r="V35" s="32"/>
      <c r="W35" s="32"/>
    </row>
    <row r="36" spans="1:23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>SUM(M36:AP36)</f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x14ac:dyDescent="0.2">
      <c r="A37" s="6"/>
      <c r="B37" s="4" t="s">
        <v>256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/>
      <c r="M37" s="32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v>0</v>
      </c>
      <c r="M38" s="32" t="s">
        <v>172</v>
      </c>
      <c r="N38" t="s">
        <v>179</v>
      </c>
    </row>
    <row r="39" spans="1:23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166</v>
      </c>
      <c r="L39" s="49">
        <f>SUM(M39:R39)</f>
        <v>39900</v>
      </c>
      <c r="M39" s="32">
        <f>11000+8000+1000+7300+4800+7800</f>
        <v>39900</v>
      </c>
    </row>
    <row r="40" spans="1:23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>SUM(M40:AP40)</f>
        <v>0</v>
      </c>
      <c r="M40" s="32" t="s">
        <v>217</v>
      </c>
      <c r="N40" t="s">
        <v>218</v>
      </c>
    </row>
    <row r="41" spans="1:23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96</v>
      </c>
      <c r="L41" s="49">
        <f>SUM(M41:Q41)</f>
        <v>0</v>
      </c>
      <c r="M41" s="32"/>
    </row>
    <row r="42" spans="1:23" x14ac:dyDescent="0.2">
      <c r="A42" s="6"/>
      <c r="B42" s="4" t="s">
        <v>35</v>
      </c>
      <c r="C42" s="3"/>
      <c r="D42" s="3"/>
      <c r="E42" s="3"/>
      <c r="F42" s="5"/>
      <c r="G42" s="10">
        <f t="shared" ref="G42:G45" si="2">L38</f>
        <v>0</v>
      </c>
      <c r="J42" s="40" t="s">
        <v>100</v>
      </c>
      <c r="K42" s="30" t="s">
        <v>97</v>
      </c>
      <c r="L42" s="49"/>
      <c r="M42" s="32"/>
    </row>
    <row r="43" spans="1:23" x14ac:dyDescent="0.2">
      <c r="A43" s="6"/>
      <c r="B43" s="4" t="s">
        <v>29</v>
      </c>
      <c r="C43" s="3"/>
      <c r="D43" s="3"/>
      <c r="E43" s="3"/>
      <c r="F43" s="5"/>
      <c r="G43" s="10">
        <f t="shared" si="2"/>
        <v>39900</v>
      </c>
      <c r="J43" s="40" t="s">
        <v>111</v>
      </c>
      <c r="K43" s="30" t="s">
        <v>65</v>
      </c>
      <c r="L43" s="49">
        <v>50000</v>
      </c>
      <c r="M43" s="32" t="s">
        <v>283</v>
      </c>
    </row>
    <row r="44" spans="1:23" x14ac:dyDescent="0.2">
      <c r="A44" s="6"/>
      <c r="B44" s="4" t="s">
        <v>36</v>
      </c>
      <c r="C44" s="3"/>
      <c r="D44" s="3"/>
      <c r="E44" s="3"/>
      <c r="F44" s="5"/>
      <c r="G44" s="10">
        <f t="shared" si="2"/>
        <v>0</v>
      </c>
      <c r="J44" s="40" t="s">
        <v>109</v>
      </c>
      <c r="K44" s="30" t="s">
        <v>165</v>
      </c>
      <c r="L44" s="49"/>
      <c r="M44" s="32"/>
    </row>
    <row r="45" spans="1:23" x14ac:dyDescent="0.2">
      <c r="A45" s="6"/>
      <c r="B45" s="4" t="s">
        <v>37</v>
      </c>
      <c r="C45" s="3"/>
      <c r="D45" s="3"/>
      <c r="E45" s="3"/>
      <c r="F45" s="5"/>
      <c r="G45" s="10">
        <f t="shared" si="2"/>
        <v>0</v>
      </c>
      <c r="J45" s="40" t="s">
        <v>110</v>
      </c>
      <c r="K45" s="30" t="s">
        <v>150</v>
      </c>
      <c r="L45" s="49">
        <f>SUM(M45:AP45)</f>
        <v>0</v>
      </c>
      <c r="M45" s="32"/>
    </row>
    <row r="46" spans="1:23" x14ac:dyDescent="0.2">
      <c r="A46" s="6"/>
      <c r="B46" s="4" t="s">
        <v>38</v>
      </c>
      <c r="C46" s="3"/>
      <c r="D46" s="3"/>
      <c r="E46" s="3"/>
      <c r="F46" s="5"/>
      <c r="G46" s="10">
        <f>+L42</f>
        <v>0</v>
      </c>
      <c r="J46" s="40" t="s">
        <v>112</v>
      </c>
      <c r="K46" s="30" t="s">
        <v>116</v>
      </c>
      <c r="L46" s="49">
        <f>SUM(M46:AP46)</f>
        <v>0</v>
      </c>
    </row>
    <row r="47" spans="1:23" x14ac:dyDescent="0.2">
      <c r="A47" s="6"/>
      <c r="B47" s="4" t="s">
        <v>129</v>
      </c>
      <c r="C47" s="3"/>
      <c r="D47" s="3"/>
      <c r="E47" s="3"/>
      <c r="F47" s="5"/>
      <c r="G47" s="10"/>
      <c r="J47" s="40" t="s">
        <v>113</v>
      </c>
      <c r="K47" s="30" t="s">
        <v>117</v>
      </c>
      <c r="L47" s="49">
        <f>SUM(M47:AP47)</f>
        <v>0</v>
      </c>
    </row>
    <row r="48" spans="1:23" x14ac:dyDescent="0.2">
      <c r="A48" s="8" t="s">
        <v>30</v>
      </c>
      <c r="B48" s="3" t="s">
        <v>282</v>
      </c>
      <c r="C48" s="3"/>
      <c r="D48" s="3"/>
      <c r="E48" s="3"/>
      <c r="F48" s="5"/>
      <c r="G48" s="10">
        <v>50000</v>
      </c>
      <c r="J48" s="40" t="s">
        <v>114</v>
      </c>
      <c r="K48" s="30" t="s">
        <v>118</v>
      </c>
      <c r="L48" s="49">
        <f>+L18</f>
        <v>52370</v>
      </c>
      <c r="M48" s="32"/>
    </row>
    <row r="49" spans="1:13" x14ac:dyDescent="0.2">
      <c r="A49" s="8" t="s">
        <v>0</v>
      </c>
      <c r="B49" s="3" t="s">
        <v>286</v>
      </c>
      <c r="C49" s="3"/>
      <c r="D49" s="3"/>
      <c r="E49" s="3"/>
      <c r="F49" s="5"/>
      <c r="G49" s="10">
        <v>50000</v>
      </c>
      <c r="H49" s="9" t="s">
        <v>18</v>
      </c>
      <c r="J49" s="40" t="s">
        <v>115</v>
      </c>
      <c r="K49" s="30" t="s">
        <v>118</v>
      </c>
      <c r="L49" s="49">
        <f>SUM(M49:AP49)</f>
        <v>0</v>
      </c>
      <c r="M49" s="32"/>
    </row>
    <row r="50" spans="1:13" x14ac:dyDescent="0.2">
      <c r="A50" s="6"/>
      <c r="B50" s="3"/>
      <c r="C50" s="3"/>
      <c r="D50" s="3"/>
      <c r="E50" s="3"/>
      <c r="F50" s="14" t="s">
        <v>40</v>
      </c>
      <c r="G50" s="10">
        <f>SUM($G41:$G49)</f>
        <v>139900</v>
      </c>
      <c r="H50" s="10">
        <f>SUM($G41:$G49)</f>
        <v>139900</v>
      </c>
      <c r="K50" s="53" t="s">
        <v>124</v>
      </c>
      <c r="L50" s="54">
        <f>SUM(L27:L32)</f>
        <v>169000</v>
      </c>
    </row>
    <row r="51" spans="1:13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3" x14ac:dyDescent="0.2">
      <c r="A52" s="6"/>
      <c r="B52" s="4" t="s">
        <v>42</v>
      </c>
      <c r="C52" s="3"/>
      <c r="D52" s="3"/>
      <c r="E52" s="3"/>
      <c r="F52" s="5"/>
      <c r="G52" s="10">
        <f>(H13*5)/100</f>
        <v>29139</v>
      </c>
      <c r="K52" s="53" t="s">
        <v>126</v>
      </c>
      <c r="L52" s="54">
        <f>SUM(L37:L45)</f>
        <v>89900</v>
      </c>
    </row>
    <row r="53" spans="1:13" x14ac:dyDescent="0.2">
      <c r="A53" s="6"/>
      <c r="B53" s="4" t="s">
        <v>58</v>
      </c>
      <c r="C53" s="3"/>
      <c r="D53" s="3"/>
      <c r="E53" s="3"/>
      <c r="F53" s="5"/>
      <c r="G53" s="10">
        <f>(H13*5)/100</f>
        <v>29139</v>
      </c>
      <c r="K53" s="53" t="s">
        <v>66</v>
      </c>
      <c r="L53" s="54">
        <f>SUM(L27:L49)</f>
        <v>311270</v>
      </c>
    </row>
    <row r="54" spans="1:13" x14ac:dyDescent="0.2">
      <c r="A54" s="6"/>
      <c r="B54" s="4" t="s">
        <v>285</v>
      </c>
      <c r="C54" s="3"/>
      <c r="D54" s="3"/>
      <c r="E54" s="3"/>
      <c r="F54" s="5"/>
      <c r="G54" s="10">
        <f>+G20</f>
        <v>52370</v>
      </c>
    </row>
    <row r="55" spans="1:13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3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110648</v>
      </c>
      <c r="H56" s="10">
        <f>SUM($G52:$G55)</f>
        <v>110648</v>
      </c>
    </row>
    <row r="57" spans="1:13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419548</v>
      </c>
    </row>
    <row r="58" spans="1:13" ht="14.25" thickTop="1" thickBot="1" x14ac:dyDescent="0.25">
      <c r="A58" s="17"/>
      <c r="B58" s="7"/>
      <c r="C58" s="7"/>
      <c r="D58" s="7"/>
      <c r="E58" s="7"/>
      <c r="F58" s="7"/>
    </row>
    <row r="59" spans="1:13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215602</v>
      </c>
    </row>
    <row r="60" spans="1:13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'MAR23'!H61</f>
        <v>-96267.274999999732</v>
      </c>
    </row>
    <row r="61" spans="1:13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119334.72500000027</v>
      </c>
    </row>
    <row r="62" spans="1:13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2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2"/>
  <sheetViews>
    <sheetView tabSelected="1" workbookViewId="0">
      <selection activeCell="G27" sqref="G27"/>
    </sheetView>
  </sheetViews>
  <sheetFormatPr baseColWidth="10" defaultRowHeight="12.75" x14ac:dyDescent="0.2"/>
  <cols>
    <col min="1" max="6" width="12.140625" customWidth="1"/>
    <col min="7" max="7" width="13.28515625" customWidth="1"/>
    <col min="8" max="8" width="13.85546875" customWidth="1"/>
    <col min="9" max="9" width="4.5703125" customWidth="1"/>
    <col min="10" max="10" width="2.5703125" bestFit="1" customWidth="1"/>
    <col min="11" max="11" width="52.140625" bestFit="1" customWidth="1"/>
    <col min="12" max="12" width="16" bestFit="1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2023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135</v>
      </c>
      <c r="G5" s="43"/>
    </row>
    <row r="6" spans="1:22" ht="10.5" customHeight="1" thickTop="1" x14ac:dyDescent="0.2">
      <c r="A6" s="1"/>
      <c r="M6" s="39" t="s">
        <v>67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258</v>
      </c>
      <c r="T6" s="39" t="s">
        <v>67</v>
      </c>
      <c r="U6" s="39" t="s">
        <v>68</v>
      </c>
      <c r="V6" s="39"/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6</v>
      </c>
      <c r="N7" s="48">
        <v>7</v>
      </c>
      <c r="O7" s="48">
        <f>+M7+7</f>
        <v>13</v>
      </c>
      <c r="P7" s="48">
        <f t="shared" ref="P7:Q7" si="0">+N7+7</f>
        <v>14</v>
      </c>
      <c r="Q7" s="48">
        <f t="shared" si="0"/>
        <v>20</v>
      </c>
      <c r="R7" s="48">
        <v>21</v>
      </c>
      <c r="S7" s="48">
        <v>25</v>
      </c>
      <c r="T7" s="48">
        <v>27</v>
      </c>
      <c r="U7" s="48">
        <v>28</v>
      </c>
      <c r="V7" s="48"/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85000</v>
      </c>
    </row>
    <row r="9" spans="1:22" x14ac:dyDescent="0.2">
      <c r="A9" s="8" t="s">
        <v>7</v>
      </c>
      <c r="B9" s="3"/>
      <c r="C9" s="3"/>
      <c r="D9" s="3"/>
      <c r="E9" s="3"/>
      <c r="F9" s="5"/>
      <c r="G9" s="10">
        <f>+L8</f>
        <v>85000</v>
      </c>
      <c r="J9" s="40" t="s">
        <v>80</v>
      </c>
      <c r="K9" s="30" t="s">
        <v>102</v>
      </c>
      <c r="L9" s="49">
        <f>SUM(M9:AP9)</f>
        <v>275638</v>
      </c>
      <c r="M9">
        <v>6080</v>
      </c>
      <c r="N9">
        <f>8690+32920+20310</f>
        <v>61920</v>
      </c>
      <c r="O9">
        <v>18880</v>
      </c>
      <c r="P9">
        <f>15437+20850+22340</f>
        <v>58627</v>
      </c>
      <c r="Q9">
        <f>6660+500</f>
        <v>7160</v>
      </c>
      <c r="R9">
        <f>9790+17040+17330</f>
        <v>44160</v>
      </c>
      <c r="S9">
        <v>13120</v>
      </c>
      <c r="T9">
        <v>9090</v>
      </c>
      <c r="U9">
        <f>24440+22031+10130</f>
        <v>56601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>+L9</f>
        <v>275638</v>
      </c>
      <c r="J10" s="40" t="s">
        <v>81</v>
      </c>
      <c r="K10" s="30" t="s">
        <v>154</v>
      </c>
      <c r="L10" s="49">
        <f>SUM(M10:AP10)</f>
        <v>10000</v>
      </c>
      <c r="O10">
        <v>10000</v>
      </c>
    </row>
    <row r="11" spans="1:22" x14ac:dyDescent="0.2">
      <c r="A11" s="8" t="s">
        <v>216</v>
      </c>
      <c r="B11" s="3"/>
      <c r="C11" s="3"/>
      <c r="D11" s="3"/>
      <c r="E11" s="3"/>
      <c r="F11" s="5"/>
      <c r="G11" s="10">
        <f t="shared" ref="G11:G17" si="1">L10</f>
        <v>10000</v>
      </c>
      <c r="J11" s="40" t="s">
        <v>107</v>
      </c>
      <c r="K11" s="30" t="s">
        <v>105</v>
      </c>
      <c r="L11" s="49">
        <f>SUM(M11:AP11)</f>
        <v>17500</v>
      </c>
      <c r="O11">
        <v>1500</v>
      </c>
      <c r="Q11">
        <v>10000</v>
      </c>
      <c r="T11">
        <v>6000</v>
      </c>
    </row>
    <row r="12" spans="1:22" x14ac:dyDescent="0.2">
      <c r="A12" s="8" t="s">
        <v>10</v>
      </c>
      <c r="B12" s="3"/>
      <c r="C12" s="3"/>
      <c r="D12" s="3"/>
      <c r="E12" s="3"/>
      <c r="F12" s="5"/>
      <c r="G12" s="10">
        <f t="shared" si="1"/>
        <v>17500</v>
      </c>
      <c r="J12" s="40" t="s">
        <v>108</v>
      </c>
      <c r="K12" s="30" t="s">
        <v>104</v>
      </c>
      <c r="L12" s="49">
        <f>SUM(M12:AP12)</f>
        <v>0</v>
      </c>
    </row>
    <row r="13" spans="1:22" x14ac:dyDescent="0.2">
      <c r="A13" s="8" t="s">
        <v>71</v>
      </c>
      <c r="B13" s="3"/>
      <c r="C13" s="3"/>
      <c r="D13" s="3"/>
      <c r="E13" s="3"/>
      <c r="F13" s="5"/>
      <c r="G13" s="10">
        <f t="shared" si="1"/>
        <v>0</v>
      </c>
      <c r="H13" s="9"/>
      <c r="J13" s="40" t="s">
        <v>119</v>
      </c>
      <c r="K13" s="30" t="s">
        <v>63</v>
      </c>
      <c r="L13" s="49">
        <f>SUM(M13:AP13)</f>
        <v>0</v>
      </c>
    </row>
    <row r="14" spans="1:22" x14ac:dyDescent="0.2">
      <c r="A14" s="8" t="s">
        <v>12</v>
      </c>
      <c r="B14" s="3"/>
      <c r="C14" s="3"/>
      <c r="D14" s="3"/>
      <c r="E14" s="3"/>
      <c r="F14" s="5"/>
      <c r="G14" s="10">
        <f t="shared" si="1"/>
        <v>0</v>
      </c>
      <c r="J14" s="40" t="s">
        <v>120</v>
      </c>
      <c r="K14" s="30" t="s">
        <v>122</v>
      </c>
      <c r="L14" s="49">
        <f>SUM(M14:AP14)</f>
        <v>0</v>
      </c>
    </row>
    <row r="15" spans="1:22" x14ac:dyDescent="0.2">
      <c r="A15" s="8" t="s">
        <v>13</v>
      </c>
      <c r="B15" s="3"/>
      <c r="C15" s="3"/>
      <c r="D15" s="3"/>
      <c r="E15" s="3"/>
      <c r="F15" s="5"/>
      <c r="G15" s="10">
        <f t="shared" si="1"/>
        <v>0</v>
      </c>
      <c r="J15" s="40" t="s">
        <v>121</v>
      </c>
      <c r="K15" s="30" t="s">
        <v>123</v>
      </c>
      <c r="L15" s="49">
        <f>SUM(M15:AP15)</f>
        <v>0</v>
      </c>
    </row>
    <row r="16" spans="1:22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85</v>
      </c>
      <c r="K16" s="30" t="s">
        <v>106</v>
      </c>
      <c r="L16" s="49">
        <f>SUM(M16:AP16)</f>
        <v>0</v>
      </c>
    </row>
    <row r="17" spans="1:21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 t="s">
        <v>11</v>
      </c>
      <c r="K17" s="50" t="s">
        <v>124</v>
      </c>
      <c r="L17" s="51">
        <f>SUM(L8:L16)</f>
        <v>388138</v>
      </c>
    </row>
    <row r="18" spans="1:21" x14ac:dyDescent="0.2">
      <c r="A18" s="11"/>
      <c r="B18" s="12"/>
      <c r="C18" s="12"/>
      <c r="D18" s="12"/>
      <c r="F18" s="13" t="s">
        <v>53</v>
      </c>
      <c r="G18" s="10">
        <f>SUM(G9:G17)</f>
        <v>388138</v>
      </c>
      <c r="H18" s="10">
        <f>SUM(G9:G17)</f>
        <v>388138</v>
      </c>
      <c r="J18" s="40" t="s">
        <v>86</v>
      </c>
      <c r="K18" s="30" t="s">
        <v>118</v>
      </c>
      <c r="L18" s="49">
        <f>SUM(M18:AP18)</f>
        <v>0</v>
      </c>
    </row>
    <row r="19" spans="1:21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SUM(M19:AP19)</f>
        <v>0</v>
      </c>
    </row>
    <row r="20" spans="1:21" x14ac:dyDescent="0.2">
      <c r="A20" s="8" t="s">
        <v>219</v>
      </c>
      <c r="B20" s="3"/>
      <c r="C20" s="3"/>
      <c r="D20" s="3"/>
      <c r="E20" s="3"/>
      <c r="F20" s="3"/>
      <c r="G20" s="10">
        <v>0</v>
      </c>
      <c r="K20" s="50" t="s">
        <v>128</v>
      </c>
      <c r="L20" s="51">
        <f>SUM(L18:L19)</f>
        <v>0</v>
      </c>
    </row>
    <row r="21" spans="1:21" x14ac:dyDescent="0.2">
      <c r="A21" s="8" t="s">
        <v>220</v>
      </c>
      <c r="B21" s="3"/>
      <c r="C21" s="3"/>
      <c r="D21" s="3"/>
      <c r="E21" s="3"/>
      <c r="F21" s="3"/>
      <c r="G21" s="10"/>
      <c r="H21" s="9" t="s">
        <v>15</v>
      </c>
      <c r="K21" s="50" t="s">
        <v>66</v>
      </c>
      <c r="L21" s="51">
        <f>SUM(L17,L20)</f>
        <v>388138</v>
      </c>
      <c r="M21" s="41"/>
    </row>
    <row r="22" spans="1:21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0</v>
      </c>
      <c r="H22" s="10">
        <f>G22</f>
        <v>0</v>
      </c>
    </row>
    <row r="23" spans="1:21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388138</v>
      </c>
    </row>
    <row r="24" spans="1:21" ht="10.5" customHeight="1" thickTop="1" x14ac:dyDescent="0.2">
      <c r="A24" s="1"/>
    </row>
    <row r="25" spans="1:21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1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2</v>
      </c>
      <c r="N26" s="48">
        <v>3</v>
      </c>
      <c r="O26" s="48">
        <v>4</v>
      </c>
      <c r="P26" s="48">
        <v>5</v>
      </c>
      <c r="Q26" s="48">
        <v>6</v>
      </c>
      <c r="R26" s="48">
        <v>7</v>
      </c>
      <c r="S26" s="48">
        <v>8</v>
      </c>
      <c r="T26" s="48">
        <v>9</v>
      </c>
      <c r="U26" s="48">
        <v>10</v>
      </c>
    </row>
    <row r="27" spans="1:21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v>20000</v>
      </c>
      <c r="M27" s="32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>SUM(M28:AP28)</f>
        <v>0</v>
      </c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6"/>
      <c r="B29" s="4" t="s">
        <v>21</v>
      </c>
      <c r="C29" s="3"/>
      <c r="D29" s="3"/>
      <c r="E29" s="3"/>
      <c r="F29" s="3"/>
      <c r="G29" s="10">
        <f>+'ABR 2023'!G29</f>
        <v>20000</v>
      </c>
      <c r="J29" s="40" t="s">
        <v>81</v>
      </c>
      <c r="K29" s="30" t="s">
        <v>70</v>
      </c>
      <c r="L29" s="49">
        <v>10000</v>
      </c>
      <c r="M29" s="32"/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6"/>
      <c r="B30" s="4" t="s">
        <v>193</v>
      </c>
      <c r="C30" s="3"/>
      <c r="D30" s="3"/>
      <c r="E30" s="3"/>
      <c r="F30" s="3"/>
      <c r="G30" s="10">
        <v>4000</v>
      </c>
      <c r="J30" s="40" t="s">
        <v>82</v>
      </c>
      <c r="K30" t="s">
        <v>192</v>
      </c>
      <c r="L30" s="49">
        <v>9000</v>
      </c>
      <c r="M30" s="32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6"/>
      <c r="B31" s="4" t="s">
        <v>22</v>
      </c>
      <c r="C31" s="3"/>
      <c r="D31" s="3"/>
      <c r="E31" s="3"/>
      <c r="F31" s="3"/>
      <c r="G31" s="10">
        <v>45000</v>
      </c>
      <c r="J31" s="40" t="s">
        <v>84</v>
      </c>
      <c r="K31" t="s">
        <v>73</v>
      </c>
      <c r="L31" s="49">
        <v>40000</v>
      </c>
      <c r="M31" s="32"/>
      <c r="N31" s="32"/>
      <c r="O31" s="32"/>
      <c r="P31" s="32"/>
      <c r="Q31" s="32"/>
      <c r="R31" s="32"/>
      <c r="S31" s="32"/>
      <c r="T31" s="32"/>
      <c r="U31" s="32"/>
    </row>
    <row r="32" spans="1:21" x14ac:dyDescent="0.2">
      <c r="A32" s="6"/>
      <c r="B32" s="4" t="s">
        <v>55</v>
      </c>
      <c r="C32" s="3"/>
      <c r="D32" s="3"/>
      <c r="E32" s="3"/>
      <c r="F32" s="3"/>
      <c r="G32" s="10">
        <f>+'ABR 2023'!G32</f>
        <v>39000</v>
      </c>
      <c r="H32" s="9" t="s">
        <v>11</v>
      </c>
      <c r="J32" s="40" t="s">
        <v>85</v>
      </c>
      <c r="K32" t="s">
        <v>74</v>
      </c>
      <c r="L32" s="49">
        <f>+'ABR 2023'!G32</f>
        <v>39000</v>
      </c>
      <c r="M32" s="32"/>
      <c r="N32" s="32"/>
      <c r="O32" s="32"/>
      <c r="P32" s="32"/>
      <c r="Q32" s="32"/>
      <c r="R32" s="32"/>
      <c r="S32" s="32"/>
      <c r="T32" s="32"/>
      <c r="U32" s="32"/>
    </row>
    <row r="33" spans="1:21" x14ac:dyDescent="0.2">
      <c r="A33" s="6"/>
      <c r="B33" s="3"/>
      <c r="C33" s="3"/>
      <c r="D33" s="3"/>
      <c r="E33" s="3"/>
      <c r="F33" s="14" t="s">
        <v>23</v>
      </c>
      <c r="G33" s="10">
        <f>SUM($G27:$G32)</f>
        <v>138000</v>
      </c>
      <c r="H33" s="10">
        <f>SUM($G27:$G32)</f>
        <v>138000</v>
      </c>
      <c r="J33" s="40" t="s">
        <v>86</v>
      </c>
      <c r="K33" s="58" t="s">
        <v>75</v>
      </c>
      <c r="L33" s="49">
        <f>SUM(M33:AP33)</f>
        <v>0</v>
      </c>
      <c r="M33" s="32"/>
      <c r="N33" s="32"/>
      <c r="O33" s="32"/>
      <c r="P33" s="32"/>
      <c r="Q33" s="32"/>
      <c r="R33" s="32"/>
      <c r="S33" s="32"/>
      <c r="T33" s="32"/>
      <c r="U33" s="32"/>
    </row>
    <row r="34" spans="1:21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>SUM(M34:AP34)</f>
        <v>0</v>
      </c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>SUM(M35:AP35)</f>
        <v>0</v>
      </c>
      <c r="M35" s="32"/>
      <c r="N35" s="32"/>
      <c r="O35" s="32"/>
      <c r="P35" s="32"/>
      <c r="Q35" s="32"/>
      <c r="R35" s="32"/>
      <c r="S35" s="32"/>
      <c r="T35" s="32"/>
      <c r="U35" s="32"/>
    </row>
    <row r="36" spans="1:21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>SUM(M36:AP36)</f>
        <v>0</v>
      </c>
      <c r="M36" s="32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v>0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f>SUM(M38:AP38)</f>
        <v>0</v>
      </c>
    </row>
    <row r="39" spans="1:21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>6000+6400+10000+13270</f>
        <v>35670</v>
      </c>
      <c r="M39" t="s">
        <v>287</v>
      </c>
      <c r="O39" t="s">
        <v>288</v>
      </c>
    </row>
    <row r="40" spans="1:21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>SUM(M40:AP40)</f>
        <v>0</v>
      </c>
    </row>
    <row r="41" spans="1:21" x14ac:dyDescent="0.2">
      <c r="A41" s="6"/>
      <c r="B41" s="4" t="s">
        <v>33</v>
      </c>
      <c r="C41" s="3"/>
      <c r="D41" s="3"/>
      <c r="E41" s="3"/>
      <c r="F41" s="5"/>
      <c r="G41" s="10">
        <v>0</v>
      </c>
      <c r="J41" s="40" t="s">
        <v>99</v>
      </c>
      <c r="K41" s="30" t="s">
        <v>96</v>
      </c>
      <c r="L41" s="49"/>
    </row>
    <row r="42" spans="1:21" x14ac:dyDescent="0.2">
      <c r="A42" s="6"/>
      <c r="B42" s="4" t="s">
        <v>35</v>
      </c>
      <c r="C42" s="3"/>
      <c r="D42" s="3"/>
      <c r="E42" s="3"/>
      <c r="F42" s="5"/>
      <c r="G42" s="10">
        <f t="shared" ref="G42:G49" si="2">L38</f>
        <v>0</v>
      </c>
      <c r="J42" s="40" t="s">
        <v>100</v>
      </c>
      <c r="K42" s="30" t="s">
        <v>97</v>
      </c>
      <c r="L42" s="49">
        <f>SUM(M42:AP42)</f>
        <v>0</v>
      </c>
    </row>
    <row r="43" spans="1:21" x14ac:dyDescent="0.2">
      <c r="A43" s="6"/>
      <c r="B43" s="4" t="s">
        <v>29</v>
      </c>
      <c r="C43" s="3"/>
      <c r="D43" s="3"/>
      <c r="E43" s="3"/>
      <c r="F43" s="5"/>
      <c r="G43" s="10">
        <f>6400+6000+10000+13270</f>
        <v>35670</v>
      </c>
      <c r="J43" s="40" t="s">
        <v>111</v>
      </c>
      <c r="K43" s="30" t="s">
        <v>65</v>
      </c>
      <c r="L43" s="49">
        <f>SUM(M43:AP43)</f>
        <v>0</v>
      </c>
    </row>
    <row r="44" spans="1:21" x14ac:dyDescent="0.2">
      <c r="A44" s="6"/>
      <c r="B44" s="4" t="s">
        <v>36</v>
      </c>
      <c r="C44" s="3"/>
      <c r="D44" s="3"/>
      <c r="E44" s="3"/>
      <c r="F44" s="5"/>
      <c r="G44" s="10">
        <v>0</v>
      </c>
      <c r="J44" s="40" t="s">
        <v>109</v>
      </c>
      <c r="K44" s="30" t="s">
        <v>141</v>
      </c>
      <c r="L44" s="49">
        <f>SUM(M44:AP44)</f>
        <v>0</v>
      </c>
    </row>
    <row r="45" spans="1:21" x14ac:dyDescent="0.2">
      <c r="A45" s="6"/>
      <c r="B45" s="4" t="s">
        <v>37</v>
      </c>
      <c r="C45" s="3"/>
      <c r="D45" s="3"/>
      <c r="E45" s="3"/>
      <c r="F45" s="5"/>
      <c r="G45" s="10">
        <f t="shared" si="2"/>
        <v>0</v>
      </c>
      <c r="J45" s="40" t="s">
        <v>110</v>
      </c>
      <c r="K45" s="30" t="s">
        <v>65</v>
      </c>
      <c r="L45" s="49">
        <f>SUM(M45:AP45)</f>
        <v>0</v>
      </c>
    </row>
    <row r="46" spans="1:21" x14ac:dyDescent="0.2">
      <c r="A46" s="6"/>
      <c r="B46" s="4" t="s">
        <v>38</v>
      </c>
      <c r="C46" s="3"/>
      <c r="D46" s="3"/>
      <c r="E46" s="3"/>
      <c r="F46" s="5"/>
      <c r="G46" s="10">
        <f t="shared" si="2"/>
        <v>0</v>
      </c>
      <c r="J46" s="40" t="s">
        <v>112</v>
      </c>
      <c r="K46" s="30" t="s">
        <v>116</v>
      </c>
      <c r="L46" s="49">
        <f>SUM(M46:AP46)</f>
        <v>0</v>
      </c>
    </row>
    <row r="47" spans="1:21" x14ac:dyDescent="0.2">
      <c r="A47" s="6"/>
      <c r="B47" s="4" t="s">
        <v>129</v>
      </c>
      <c r="C47" s="3"/>
      <c r="D47" s="3"/>
      <c r="E47" s="3"/>
      <c r="F47" s="5"/>
      <c r="G47" s="10">
        <f t="shared" si="2"/>
        <v>0</v>
      </c>
      <c r="J47" s="40" t="s">
        <v>113</v>
      </c>
      <c r="K47" s="30" t="s">
        <v>117</v>
      </c>
      <c r="L47" s="49">
        <f>SUM(M47:AP47)</f>
        <v>0</v>
      </c>
    </row>
    <row r="48" spans="1:21" x14ac:dyDescent="0.2">
      <c r="A48" s="8" t="s">
        <v>30</v>
      </c>
      <c r="B48" s="3" t="s">
        <v>39</v>
      </c>
      <c r="C48" s="3" t="s">
        <v>204</v>
      </c>
      <c r="D48" s="3"/>
      <c r="E48" s="3"/>
      <c r="F48" s="5"/>
      <c r="G48" s="10">
        <v>50000</v>
      </c>
      <c r="J48" s="40" t="s">
        <v>114</v>
      </c>
      <c r="K48" s="30" t="s">
        <v>118</v>
      </c>
      <c r="L48" s="49">
        <f>SUM(M48:AP48)</f>
        <v>0</v>
      </c>
    </row>
    <row r="49" spans="1:12" x14ac:dyDescent="0.2">
      <c r="A49" s="8" t="s">
        <v>0</v>
      </c>
      <c r="B49" s="3" t="s">
        <v>39</v>
      </c>
      <c r="C49" s="3"/>
      <c r="D49" s="3"/>
      <c r="E49" s="3"/>
      <c r="F49" s="5"/>
      <c r="G49" s="10">
        <f t="shared" si="2"/>
        <v>0</v>
      </c>
      <c r="H49" s="9" t="s">
        <v>18</v>
      </c>
      <c r="J49" s="40" t="s">
        <v>115</v>
      </c>
      <c r="K49" s="30" t="s">
        <v>118</v>
      </c>
      <c r="L49" s="49">
        <f>SUM(M49:AP49)</f>
        <v>0</v>
      </c>
    </row>
    <row r="50" spans="1:12" x14ac:dyDescent="0.2">
      <c r="A50" s="6"/>
      <c r="B50" s="3"/>
      <c r="C50" s="3"/>
      <c r="D50" s="3"/>
      <c r="E50" s="3"/>
      <c r="F50" s="14" t="s">
        <v>40</v>
      </c>
      <c r="G50" s="10">
        <f>SUM($G41:$G49)</f>
        <v>85670</v>
      </c>
      <c r="H50" s="10">
        <f>SUM($G41:$G49)</f>
        <v>85670</v>
      </c>
      <c r="K50" s="53" t="s">
        <v>124</v>
      </c>
      <c r="L50" s="54">
        <f>SUM(L27:L32)</f>
        <v>118000</v>
      </c>
    </row>
    <row r="51" spans="1:12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2" x14ac:dyDescent="0.2">
      <c r="A52" s="6"/>
      <c r="B52" s="4" t="s">
        <v>42</v>
      </c>
      <c r="C52" s="3"/>
      <c r="D52" s="3"/>
      <c r="E52" s="3"/>
      <c r="F52" s="5"/>
      <c r="G52" s="10">
        <f>(H18*5)/100</f>
        <v>19406.900000000001</v>
      </c>
      <c r="K52" s="53" t="s">
        <v>126</v>
      </c>
      <c r="L52" s="54">
        <f>SUM(L37:L45)</f>
        <v>35670</v>
      </c>
    </row>
    <row r="53" spans="1:12" x14ac:dyDescent="0.2">
      <c r="A53" s="6"/>
      <c r="B53" s="4" t="s">
        <v>58</v>
      </c>
      <c r="C53" s="3"/>
      <c r="D53" s="3"/>
      <c r="E53" s="3"/>
      <c r="F53" s="5"/>
      <c r="G53" s="10">
        <f>(H18*5)/100</f>
        <v>19406.900000000001</v>
      </c>
      <c r="K53" s="53" t="s">
        <v>66</v>
      </c>
      <c r="L53" s="54">
        <f>SUM(L27:L49)</f>
        <v>153670</v>
      </c>
    </row>
    <row r="54" spans="1:12" x14ac:dyDescent="0.2">
      <c r="A54" s="6"/>
      <c r="B54" s="4" t="s">
        <v>185</v>
      </c>
      <c r="C54" s="3"/>
      <c r="D54" s="3"/>
      <c r="E54" s="3"/>
      <c r="F54" s="5"/>
      <c r="G54" s="10">
        <f>+G20</f>
        <v>0</v>
      </c>
    </row>
    <row r="55" spans="1:12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2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38813.800000000003</v>
      </c>
      <c r="H56" s="10">
        <f>SUM($G52:$G55)</f>
        <v>38813.800000000003</v>
      </c>
    </row>
    <row r="57" spans="1:12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262483.8</v>
      </c>
    </row>
    <row r="58" spans="1:12" ht="14.25" thickTop="1" thickBot="1" x14ac:dyDescent="0.25">
      <c r="A58" s="17"/>
      <c r="B58" s="7"/>
      <c r="C58" s="7"/>
      <c r="D58" s="7"/>
      <c r="E58" s="7"/>
      <c r="F58" s="7"/>
    </row>
    <row r="59" spans="1:12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125654.20000000001</v>
      </c>
    </row>
    <row r="60" spans="1:12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'ABR 2023'!H61</f>
        <v>119334.72500000027</v>
      </c>
    </row>
    <row r="61" spans="1:12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244988.92500000028</v>
      </c>
    </row>
    <row r="62" spans="1:12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0" sqref="G50"/>
    </sheetView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62"/>
  <sheetViews>
    <sheetView topLeftCell="A4" zoomScale="90" zoomScaleNormal="9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5.42578125" customWidth="1"/>
    <col min="8" max="8" width="14.1406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7.42578125" bestFit="1" customWidth="1"/>
    <col min="13" max="13" width="15.7109375" bestFit="1" customWidth="1"/>
    <col min="14" max="14" width="14.42578125" bestFit="1" customWidth="1"/>
  </cols>
  <sheetData>
    <row r="1" spans="1:21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1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1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2021</v>
      </c>
    </row>
    <row r="4" spans="1:21" ht="10.5" customHeight="1" thickBot="1" x14ac:dyDescent="0.25">
      <c r="A4" s="1"/>
    </row>
    <row r="5" spans="1:21" ht="21.75" thickTop="1" thickBot="1" x14ac:dyDescent="0.35">
      <c r="C5" s="18" t="s">
        <v>2</v>
      </c>
      <c r="F5" s="42" t="s">
        <v>136</v>
      </c>
      <c r="G5" s="43"/>
    </row>
    <row r="6" spans="1:21" ht="10.5" customHeight="1" thickTop="1" x14ac:dyDescent="0.2">
      <c r="A6" s="1"/>
      <c r="M6" s="39" t="s">
        <v>67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67</v>
      </c>
      <c r="T6" s="39" t="s">
        <v>68</v>
      </c>
      <c r="U6" s="39"/>
    </row>
    <row r="7" spans="1:21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81">
        <v>44716</v>
      </c>
      <c r="N7" s="81">
        <v>44717</v>
      </c>
      <c r="O7" s="81">
        <f>+M7+7</f>
        <v>44723</v>
      </c>
      <c r="P7" s="81">
        <f>+N7+7</f>
        <v>44724</v>
      </c>
      <c r="Q7" s="81">
        <f t="shared" ref="Q7:T7" si="0">+O7+7</f>
        <v>44730</v>
      </c>
      <c r="R7" s="81">
        <f t="shared" si="0"/>
        <v>44731</v>
      </c>
      <c r="S7" s="81">
        <f t="shared" si="0"/>
        <v>44737</v>
      </c>
      <c r="T7" s="81">
        <f t="shared" si="0"/>
        <v>44738</v>
      </c>
      <c r="U7" s="48"/>
    </row>
    <row r="8" spans="1:21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214</v>
      </c>
      <c r="L8" s="49">
        <v>68000</v>
      </c>
    </row>
    <row r="9" spans="1:21" x14ac:dyDescent="0.2">
      <c r="A9" s="8" t="s">
        <v>7</v>
      </c>
      <c r="B9" s="3"/>
      <c r="C9" s="3"/>
      <c r="D9" s="3"/>
      <c r="E9" s="3"/>
      <c r="F9" s="5"/>
      <c r="G9" s="10">
        <f>L8</f>
        <v>68000</v>
      </c>
      <c r="J9" s="40" t="s">
        <v>80</v>
      </c>
      <c r="K9" s="30" t="s">
        <v>102</v>
      </c>
      <c r="L9" s="49">
        <f t="shared" ref="L9:L16" si="1">SUM(M9:AO9)</f>
        <v>136623</v>
      </c>
      <c r="M9">
        <f>4000+6190</f>
        <v>10190</v>
      </c>
      <c r="N9">
        <f>4984+12430+11367</f>
        <v>28781</v>
      </c>
      <c r="O9">
        <v>3390</v>
      </c>
      <c r="P9">
        <f>4400+8890+4000+7990</f>
        <v>25280</v>
      </c>
      <c r="Q9">
        <v>3719</v>
      </c>
      <c r="R9">
        <f>4585+9450+10901</f>
        <v>24936</v>
      </c>
      <c r="S9">
        <v>12840</v>
      </c>
      <c r="T9">
        <f>5043+12200+1000+9244</f>
        <v>27487</v>
      </c>
    </row>
    <row r="10" spans="1:21" x14ac:dyDescent="0.2">
      <c r="A10" s="8" t="s">
        <v>8</v>
      </c>
      <c r="B10" s="3"/>
      <c r="C10" s="3"/>
      <c r="D10" s="3"/>
      <c r="E10" s="3"/>
      <c r="F10" s="5"/>
      <c r="G10" s="10">
        <f t="shared" ref="G10:G17" si="2">L9</f>
        <v>136623</v>
      </c>
      <c r="J10" s="40" t="s">
        <v>81</v>
      </c>
      <c r="K10" s="30" t="s">
        <v>154</v>
      </c>
      <c r="L10" s="49">
        <f t="shared" si="1"/>
        <v>1100</v>
      </c>
      <c r="N10">
        <v>1100</v>
      </c>
    </row>
    <row r="11" spans="1:21" x14ac:dyDescent="0.2">
      <c r="A11" s="8" t="s">
        <v>216</v>
      </c>
      <c r="B11" s="3"/>
      <c r="C11" s="3"/>
      <c r="D11" s="3"/>
      <c r="E11" s="3"/>
      <c r="F11" s="5"/>
      <c r="G11" s="10">
        <f t="shared" si="2"/>
        <v>1100</v>
      </c>
      <c r="J11" s="40" t="s">
        <v>107</v>
      </c>
      <c r="K11" s="30" t="s">
        <v>105</v>
      </c>
      <c r="L11" s="49">
        <f t="shared" si="1"/>
        <v>16300</v>
      </c>
      <c r="M11">
        <v>6000</v>
      </c>
      <c r="Q11">
        <v>2800</v>
      </c>
      <c r="S11">
        <v>5500</v>
      </c>
      <c r="T11">
        <v>2000</v>
      </c>
    </row>
    <row r="12" spans="1:21" x14ac:dyDescent="0.2">
      <c r="A12" s="8" t="s">
        <v>10</v>
      </c>
      <c r="B12" s="3"/>
      <c r="C12" s="3"/>
      <c r="D12" s="3"/>
      <c r="E12" s="3"/>
      <c r="F12" s="5"/>
      <c r="G12" s="10">
        <f t="shared" si="2"/>
        <v>16300</v>
      </c>
      <c r="J12" s="40" t="s">
        <v>108</v>
      </c>
      <c r="K12" s="30" t="s">
        <v>104</v>
      </c>
      <c r="L12" s="49">
        <f t="shared" si="1"/>
        <v>0</v>
      </c>
    </row>
    <row r="13" spans="1:21" x14ac:dyDescent="0.2">
      <c r="A13" s="8" t="s">
        <v>71</v>
      </c>
      <c r="B13" s="3"/>
      <c r="C13" s="3"/>
      <c r="D13" s="3"/>
      <c r="E13" s="3"/>
      <c r="F13" s="5"/>
      <c r="G13" s="10">
        <v>0</v>
      </c>
      <c r="H13" s="9"/>
      <c r="J13" s="40" t="s">
        <v>119</v>
      </c>
      <c r="K13" s="30" t="s">
        <v>63</v>
      </c>
      <c r="L13" s="49">
        <f t="shared" si="1"/>
        <v>0</v>
      </c>
    </row>
    <row r="14" spans="1:21" x14ac:dyDescent="0.2">
      <c r="A14" s="8" t="s">
        <v>12</v>
      </c>
      <c r="B14" s="3"/>
      <c r="C14" s="3"/>
      <c r="D14" s="3"/>
      <c r="E14" s="3"/>
      <c r="F14" s="5"/>
      <c r="G14" s="10">
        <f t="shared" si="2"/>
        <v>0</v>
      </c>
      <c r="J14" s="40" t="s">
        <v>120</v>
      </c>
      <c r="K14" s="30" t="s">
        <v>122</v>
      </c>
      <c r="L14" s="49">
        <f t="shared" si="1"/>
        <v>0</v>
      </c>
    </row>
    <row r="15" spans="1:21" x14ac:dyDescent="0.2">
      <c r="A15" s="8" t="s">
        <v>13</v>
      </c>
      <c r="B15" s="3"/>
      <c r="C15" s="3"/>
      <c r="D15" s="3"/>
      <c r="E15" s="3"/>
      <c r="F15" s="5"/>
      <c r="G15" s="10">
        <f t="shared" si="2"/>
        <v>0</v>
      </c>
      <c r="J15" s="40" t="s">
        <v>121</v>
      </c>
      <c r="K15" s="30" t="s">
        <v>123</v>
      </c>
      <c r="L15" s="49">
        <f t="shared" si="1"/>
        <v>0</v>
      </c>
    </row>
    <row r="16" spans="1:21" x14ac:dyDescent="0.2">
      <c r="A16" s="8" t="s">
        <v>13</v>
      </c>
      <c r="B16" s="3"/>
      <c r="C16" s="3"/>
      <c r="D16" s="3"/>
      <c r="E16" s="3"/>
      <c r="F16" s="5"/>
      <c r="G16" s="10">
        <f t="shared" si="2"/>
        <v>0</v>
      </c>
      <c r="J16" s="40" t="s">
        <v>85</v>
      </c>
      <c r="K16" s="30" t="s">
        <v>106</v>
      </c>
      <c r="L16" s="49">
        <f t="shared" si="1"/>
        <v>0</v>
      </c>
    </row>
    <row r="17" spans="1:20" x14ac:dyDescent="0.2">
      <c r="A17" s="8" t="s">
        <v>14</v>
      </c>
      <c r="B17" s="3"/>
      <c r="C17" s="3"/>
      <c r="D17" s="3"/>
      <c r="E17" s="3"/>
      <c r="F17" s="5"/>
      <c r="G17" s="10">
        <f t="shared" si="2"/>
        <v>0</v>
      </c>
      <c r="H17" s="9" t="s">
        <v>11</v>
      </c>
      <c r="K17" s="50" t="s">
        <v>124</v>
      </c>
      <c r="L17" s="51">
        <f>SUM(L8:L16)</f>
        <v>222023</v>
      </c>
    </row>
    <row r="18" spans="1:20" x14ac:dyDescent="0.2">
      <c r="A18" s="11"/>
      <c r="B18" s="12"/>
      <c r="C18" s="12"/>
      <c r="D18" s="12"/>
      <c r="F18" s="13" t="s">
        <v>53</v>
      </c>
      <c r="G18" s="10">
        <f>SUM(G9:G17)</f>
        <v>222023</v>
      </c>
      <c r="H18" s="10">
        <f>SUM(G9:G17)</f>
        <v>222023</v>
      </c>
      <c r="J18" s="40" t="s">
        <v>86</v>
      </c>
      <c r="K18" s="30" t="s">
        <v>167</v>
      </c>
      <c r="L18" s="49">
        <f>SUM(M18:AO18)</f>
        <v>127100</v>
      </c>
      <c r="O18">
        <v>3020</v>
      </c>
      <c r="P18">
        <f>10830+18680+22550</f>
        <v>52060</v>
      </c>
      <c r="Q18">
        <f>7000+12000+15120</f>
        <v>34120</v>
      </c>
      <c r="R18">
        <f>17700+4200+6900</f>
        <v>28800</v>
      </c>
      <c r="S18">
        <v>1100</v>
      </c>
      <c r="T18">
        <f>3300+4700</f>
        <v>8000</v>
      </c>
    </row>
    <row r="19" spans="1:20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168</v>
      </c>
      <c r="L19" s="49">
        <f>SUM(M19:AO19)</f>
        <v>0</v>
      </c>
    </row>
    <row r="20" spans="1:20" x14ac:dyDescent="0.2">
      <c r="A20" s="56" t="s">
        <v>142</v>
      </c>
      <c r="B20" s="3"/>
      <c r="C20" s="3"/>
      <c r="D20" s="3"/>
      <c r="E20" s="3"/>
      <c r="F20" s="3"/>
      <c r="G20" s="10">
        <f>L18</f>
        <v>127100</v>
      </c>
      <c r="K20" s="50" t="s">
        <v>128</v>
      </c>
      <c r="L20" s="51">
        <f>SUM(L18:L19)</f>
        <v>127100</v>
      </c>
    </row>
    <row r="21" spans="1:20" x14ac:dyDescent="0.2">
      <c r="A21" s="8" t="s">
        <v>17</v>
      </c>
      <c r="B21" s="3"/>
      <c r="C21" s="3"/>
      <c r="D21" s="3" t="s">
        <v>169</v>
      </c>
      <c r="E21" s="3"/>
      <c r="F21" s="3"/>
      <c r="G21" s="10"/>
      <c r="H21" s="9" t="s">
        <v>15</v>
      </c>
      <c r="K21" s="50" t="s">
        <v>66</v>
      </c>
      <c r="L21" s="51">
        <f>SUM(L17,L20)</f>
        <v>349123</v>
      </c>
      <c r="N21" s="41"/>
    </row>
    <row r="22" spans="1:20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127100</v>
      </c>
      <c r="H22" s="10">
        <f>G22</f>
        <v>127100</v>
      </c>
    </row>
    <row r="23" spans="1:20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349123</v>
      </c>
      <c r="K23" s="55"/>
    </row>
    <row r="24" spans="1:20" ht="10.5" customHeight="1" thickTop="1" x14ac:dyDescent="0.2">
      <c r="A24" s="1"/>
    </row>
    <row r="25" spans="1:20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0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>
        <v>2</v>
      </c>
      <c r="O26" s="48">
        <v>3</v>
      </c>
      <c r="P26" s="48">
        <v>4</v>
      </c>
      <c r="Q26" s="48">
        <v>5</v>
      </c>
      <c r="R26" s="48">
        <v>6</v>
      </c>
      <c r="S26" s="48">
        <v>7</v>
      </c>
      <c r="T26" s="48">
        <v>8</v>
      </c>
    </row>
    <row r="27" spans="1:20" x14ac:dyDescent="0.2">
      <c r="A27" s="8"/>
      <c r="B27" s="3" t="s">
        <v>25</v>
      </c>
      <c r="C27" s="3"/>
      <c r="D27" s="3"/>
      <c r="E27" s="3"/>
      <c r="F27" s="3"/>
      <c r="G27" s="10">
        <v>20000</v>
      </c>
      <c r="J27" s="40" t="s">
        <v>83</v>
      </c>
      <c r="K27" s="30" t="s">
        <v>69</v>
      </c>
      <c r="L27" s="49">
        <v>20000</v>
      </c>
      <c r="M27" s="32"/>
      <c r="N27" s="32"/>
      <c r="O27" s="32"/>
      <c r="P27" s="32"/>
      <c r="Q27" s="32"/>
      <c r="R27" s="32"/>
      <c r="S27" s="32"/>
      <c r="T27" s="32"/>
    </row>
    <row r="28" spans="1:20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>SUM(M28:AO28)</f>
        <v>0</v>
      </c>
      <c r="M28" s="32"/>
      <c r="N28" s="32"/>
      <c r="O28" s="32"/>
      <c r="P28" s="32"/>
      <c r="Q28" s="32"/>
      <c r="R28" s="32"/>
      <c r="S28" s="32"/>
      <c r="T28" s="32"/>
    </row>
    <row r="29" spans="1:20" x14ac:dyDescent="0.2">
      <c r="A29" s="6"/>
      <c r="B29" s="4" t="s">
        <v>21</v>
      </c>
      <c r="C29" s="3"/>
      <c r="D29" s="3"/>
      <c r="E29" s="3"/>
      <c r="F29" s="3"/>
      <c r="G29" s="10">
        <v>10000</v>
      </c>
      <c r="J29" s="40" t="s">
        <v>81</v>
      </c>
      <c r="K29" s="30" t="s">
        <v>158</v>
      </c>
      <c r="L29" s="49">
        <v>10000</v>
      </c>
      <c r="M29" s="32"/>
      <c r="N29" s="32"/>
      <c r="O29" s="32"/>
      <c r="P29" s="32"/>
      <c r="Q29" s="32"/>
      <c r="R29" s="32"/>
      <c r="S29" s="32"/>
      <c r="T29" s="32"/>
    </row>
    <row r="30" spans="1:20" x14ac:dyDescent="0.2">
      <c r="A30" s="6"/>
      <c r="B30" s="4" t="s">
        <v>193</v>
      </c>
      <c r="C30" s="3"/>
      <c r="D30" s="3"/>
      <c r="E30" s="3"/>
      <c r="F30" s="3"/>
      <c r="G30" s="10"/>
      <c r="J30" s="40" t="s">
        <v>82</v>
      </c>
      <c r="K30" t="s">
        <v>149</v>
      </c>
      <c r="L30" s="49">
        <f>SUM(M30:AO30)</f>
        <v>0</v>
      </c>
      <c r="M30" s="32" t="s">
        <v>180</v>
      </c>
      <c r="N30" s="32"/>
      <c r="O30" s="32"/>
      <c r="P30" s="32"/>
      <c r="Q30" s="32"/>
      <c r="R30" s="32"/>
      <c r="S30" s="32"/>
      <c r="T30" s="32"/>
    </row>
    <row r="31" spans="1:20" x14ac:dyDescent="0.2">
      <c r="A31" s="6"/>
      <c r="B31" s="4" t="s">
        <v>22</v>
      </c>
      <c r="C31" s="3"/>
      <c r="D31" s="3"/>
      <c r="E31" s="3"/>
      <c r="F31" s="3"/>
      <c r="G31" s="10">
        <f>20000+30000</f>
        <v>50000</v>
      </c>
      <c r="J31" s="40" t="s">
        <v>84</v>
      </c>
      <c r="K31" t="s">
        <v>73</v>
      </c>
      <c r="L31" s="49">
        <v>50000</v>
      </c>
      <c r="M31" s="32">
        <v>20000</v>
      </c>
      <c r="N31" s="32">
        <v>30000</v>
      </c>
      <c r="O31" s="32"/>
      <c r="P31" s="32"/>
      <c r="Q31" s="32"/>
      <c r="R31" s="32"/>
      <c r="S31" s="32"/>
      <c r="T31" s="32"/>
    </row>
    <row r="32" spans="1:20" x14ac:dyDescent="0.2">
      <c r="A32" s="6"/>
      <c r="B32" s="4" t="s">
        <v>55</v>
      </c>
      <c r="C32" s="3"/>
      <c r="D32" s="3"/>
      <c r="E32" s="3"/>
      <c r="F32" s="3"/>
      <c r="G32" s="10">
        <v>20700</v>
      </c>
      <c r="H32" s="9" t="s">
        <v>11</v>
      </c>
      <c r="J32" s="40" t="s">
        <v>85</v>
      </c>
      <c r="K32" t="s">
        <v>74</v>
      </c>
      <c r="L32" s="49">
        <v>20700</v>
      </c>
      <c r="M32" s="32"/>
      <c r="N32" s="32"/>
      <c r="O32" s="32"/>
      <c r="P32" s="32"/>
      <c r="Q32" s="32"/>
      <c r="R32" s="32"/>
      <c r="S32" s="32"/>
      <c r="T32" s="32"/>
    </row>
    <row r="33" spans="1:20" x14ac:dyDescent="0.2">
      <c r="A33" s="6"/>
      <c r="B33" s="3"/>
      <c r="C33" s="3"/>
      <c r="D33" s="3"/>
      <c r="E33" s="3"/>
      <c r="F33" s="14" t="s">
        <v>23</v>
      </c>
      <c r="G33" s="10">
        <f>SUM($G27:$G32)</f>
        <v>100700</v>
      </c>
      <c r="H33" s="10">
        <f>SUM($G27:$G32)</f>
        <v>100700</v>
      </c>
      <c r="J33" s="40" t="s">
        <v>86</v>
      </c>
      <c r="K33" s="58" t="s">
        <v>75</v>
      </c>
      <c r="L33" s="49">
        <f t="shared" ref="L33:L49" si="3">SUM(M33:AO33)</f>
        <v>0</v>
      </c>
      <c r="M33" s="32"/>
      <c r="N33" s="32"/>
      <c r="O33" s="32"/>
      <c r="P33" s="32"/>
      <c r="Q33" s="32"/>
      <c r="R33" s="32"/>
      <c r="S33" s="32"/>
      <c r="T33" s="32"/>
    </row>
    <row r="34" spans="1:20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 t="shared" si="3"/>
        <v>0</v>
      </c>
      <c r="M34" s="32"/>
      <c r="N34" s="32"/>
      <c r="O34" s="32"/>
      <c r="P34" s="32"/>
      <c r="Q34" s="32"/>
      <c r="R34" s="32"/>
      <c r="S34" s="32"/>
      <c r="T34" s="32"/>
    </row>
    <row r="35" spans="1:20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 t="shared" si="3"/>
        <v>0</v>
      </c>
      <c r="M35" s="32"/>
      <c r="N35" s="32"/>
      <c r="O35" s="32"/>
      <c r="P35" s="32"/>
      <c r="Q35" s="32"/>
      <c r="R35" s="32"/>
      <c r="S35" s="32"/>
      <c r="T35" s="32"/>
    </row>
    <row r="36" spans="1:20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 t="shared" si="3"/>
        <v>0</v>
      </c>
      <c r="M36" s="32"/>
      <c r="N36" s="32"/>
      <c r="O36" s="32"/>
      <c r="P36" s="32"/>
      <c r="Q36" s="32"/>
      <c r="R36" s="32"/>
      <c r="S36" s="32"/>
      <c r="T36" s="32"/>
    </row>
    <row r="37" spans="1:20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f t="shared" si="3"/>
        <v>0</v>
      </c>
      <c r="M37" s="32"/>
      <c r="N37" s="30"/>
      <c r="O37" s="30"/>
      <c r="P37" s="30"/>
      <c r="Q37" s="30"/>
      <c r="R37" s="30"/>
      <c r="S37" s="30"/>
      <c r="T37" s="30"/>
    </row>
    <row r="38" spans="1:20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f t="shared" si="3"/>
        <v>0</v>
      </c>
      <c r="M38" s="32"/>
    </row>
    <row r="39" spans="1:20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>62145+19950+22400+5020</f>
        <v>109515</v>
      </c>
      <c r="M39" s="32">
        <v>62145</v>
      </c>
      <c r="N39">
        <v>19950</v>
      </c>
      <c r="O39">
        <v>22400</v>
      </c>
      <c r="P39">
        <v>5020</v>
      </c>
      <c r="Q39">
        <v>8000</v>
      </c>
    </row>
    <row r="40" spans="1:20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 t="shared" si="3"/>
        <v>0</v>
      </c>
      <c r="M40" s="32"/>
    </row>
    <row r="41" spans="1:20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151</v>
      </c>
      <c r="L41" s="49">
        <f t="shared" si="3"/>
        <v>0</v>
      </c>
      <c r="M41" s="32"/>
    </row>
    <row r="42" spans="1:20" x14ac:dyDescent="0.2">
      <c r="A42" s="6"/>
      <c r="B42" s="4" t="s">
        <v>35</v>
      </c>
      <c r="C42" s="3"/>
      <c r="D42" s="3"/>
      <c r="E42" s="3"/>
      <c r="F42" s="5"/>
      <c r="G42" s="10">
        <v>0</v>
      </c>
      <c r="J42" s="40" t="s">
        <v>100</v>
      </c>
      <c r="K42" s="30" t="s">
        <v>97</v>
      </c>
      <c r="L42" s="49">
        <f t="shared" si="3"/>
        <v>0</v>
      </c>
      <c r="M42" s="32"/>
    </row>
    <row r="43" spans="1:20" x14ac:dyDescent="0.2">
      <c r="A43" s="6"/>
      <c r="B43" s="4" t="s">
        <v>29</v>
      </c>
      <c r="C43" s="3"/>
      <c r="D43" s="3"/>
      <c r="E43" s="3"/>
      <c r="F43" s="5"/>
      <c r="G43" s="10">
        <f>+L39</f>
        <v>109515</v>
      </c>
      <c r="J43" s="40" t="s">
        <v>111</v>
      </c>
      <c r="K43" s="30" t="s">
        <v>65</v>
      </c>
      <c r="L43" s="49">
        <f>100000+45000</f>
        <v>145000</v>
      </c>
      <c r="M43" s="32">
        <v>100000</v>
      </c>
      <c r="N43">
        <v>45000</v>
      </c>
    </row>
    <row r="44" spans="1:20" x14ac:dyDescent="0.2">
      <c r="A44" s="6"/>
      <c r="B44" s="4" t="s">
        <v>36</v>
      </c>
      <c r="C44" s="3"/>
      <c r="D44" s="3"/>
      <c r="E44" s="3"/>
      <c r="F44" s="5"/>
      <c r="G44" s="10">
        <f t="shared" ref="G44:G49" si="4">L40</f>
        <v>0</v>
      </c>
      <c r="J44" s="40" t="s">
        <v>109</v>
      </c>
      <c r="K44" s="30" t="s">
        <v>141</v>
      </c>
      <c r="L44" s="49">
        <f t="shared" si="3"/>
        <v>0</v>
      </c>
      <c r="M44" s="32"/>
    </row>
    <row r="45" spans="1:20" x14ac:dyDescent="0.2">
      <c r="A45" s="6"/>
      <c r="B45" s="4" t="s">
        <v>37</v>
      </c>
      <c r="C45" s="3"/>
      <c r="D45" s="3"/>
      <c r="E45" s="3"/>
      <c r="F45" s="5"/>
      <c r="G45" s="10">
        <v>0</v>
      </c>
      <c r="J45" s="40" t="s">
        <v>110</v>
      </c>
      <c r="K45" s="30" t="s">
        <v>65</v>
      </c>
      <c r="L45" s="49">
        <f t="shared" si="3"/>
        <v>0</v>
      </c>
      <c r="M45" s="32"/>
    </row>
    <row r="46" spans="1:20" x14ac:dyDescent="0.2">
      <c r="A46" s="6"/>
      <c r="B46" s="4" t="s">
        <v>38</v>
      </c>
      <c r="C46" s="3"/>
      <c r="D46" s="3"/>
      <c r="E46" s="3"/>
      <c r="F46" s="5"/>
      <c r="G46" s="10">
        <v>0</v>
      </c>
      <c r="J46" s="40" t="s">
        <v>112</v>
      </c>
      <c r="K46" s="30" t="s">
        <v>116</v>
      </c>
      <c r="L46" s="49">
        <f t="shared" si="3"/>
        <v>0</v>
      </c>
    </row>
    <row r="47" spans="1:20" x14ac:dyDescent="0.2">
      <c r="A47" s="6"/>
      <c r="B47" s="4" t="s">
        <v>153</v>
      </c>
      <c r="C47" s="3"/>
      <c r="D47" s="3"/>
      <c r="E47" s="3"/>
      <c r="F47" s="5"/>
      <c r="G47" s="10">
        <f t="shared" si="4"/>
        <v>145000</v>
      </c>
      <c r="J47" s="40" t="s">
        <v>113</v>
      </c>
      <c r="K47" s="30" t="s">
        <v>117</v>
      </c>
      <c r="L47" s="49">
        <f t="shared" si="3"/>
        <v>0</v>
      </c>
    </row>
    <row r="48" spans="1:20" x14ac:dyDescent="0.2">
      <c r="A48" s="8" t="s">
        <v>30</v>
      </c>
      <c r="B48" s="3" t="s">
        <v>152</v>
      </c>
      <c r="C48" s="3"/>
      <c r="D48" s="3"/>
      <c r="E48" s="3"/>
      <c r="F48" s="5"/>
      <c r="G48" s="10">
        <f t="shared" si="4"/>
        <v>0</v>
      </c>
      <c r="J48" s="40" t="s">
        <v>114</v>
      </c>
      <c r="K48" s="30" t="s">
        <v>144</v>
      </c>
      <c r="L48" s="49">
        <f t="shared" si="3"/>
        <v>0</v>
      </c>
      <c r="M48" s="32"/>
    </row>
    <row r="49" spans="1:13" x14ac:dyDescent="0.2">
      <c r="A49" s="8" t="s">
        <v>0</v>
      </c>
      <c r="B49" s="3" t="s">
        <v>39</v>
      </c>
      <c r="C49" s="3"/>
      <c r="D49" s="3"/>
      <c r="E49" s="3"/>
      <c r="F49" s="5"/>
      <c r="G49" s="10">
        <f t="shared" si="4"/>
        <v>0</v>
      </c>
      <c r="H49" s="9" t="s">
        <v>18</v>
      </c>
      <c r="J49" s="40" t="s">
        <v>115</v>
      </c>
      <c r="K49" s="30" t="s">
        <v>143</v>
      </c>
      <c r="L49" s="49">
        <f t="shared" si="3"/>
        <v>0</v>
      </c>
      <c r="M49" s="32"/>
    </row>
    <row r="50" spans="1:13" x14ac:dyDescent="0.2">
      <c r="A50" s="6"/>
      <c r="B50" s="3"/>
      <c r="C50" s="3"/>
      <c r="D50" s="3"/>
      <c r="E50" s="3"/>
      <c r="F50" s="14" t="s">
        <v>40</v>
      </c>
      <c r="G50" s="10">
        <f>SUM($G41:$G49)</f>
        <v>254515</v>
      </c>
      <c r="H50" s="10">
        <f>SUM($G41:$G49)</f>
        <v>254515</v>
      </c>
      <c r="K50" s="53" t="s">
        <v>124</v>
      </c>
      <c r="L50" s="54">
        <f>SUM(L27:L49)</f>
        <v>355215</v>
      </c>
    </row>
    <row r="51" spans="1:13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3" x14ac:dyDescent="0.2">
      <c r="A52" s="6"/>
      <c r="B52" s="4" t="s">
        <v>42</v>
      </c>
      <c r="C52" s="3"/>
      <c r="D52" s="3"/>
      <c r="E52" s="3"/>
      <c r="F52" s="5"/>
      <c r="G52" s="10">
        <f>(H18*5)/100</f>
        <v>11101.15</v>
      </c>
      <c r="K52" s="53" t="s">
        <v>126</v>
      </c>
      <c r="L52" s="54">
        <f>SUM(L37:L45)</f>
        <v>254515</v>
      </c>
    </row>
    <row r="53" spans="1:13" x14ac:dyDescent="0.2">
      <c r="A53" s="6"/>
      <c r="B53" s="4" t="s">
        <v>58</v>
      </c>
      <c r="C53" s="3"/>
      <c r="D53" s="3"/>
      <c r="E53" s="3"/>
      <c r="F53" s="5"/>
      <c r="G53" s="10">
        <f>(H18*5)/100</f>
        <v>11101.15</v>
      </c>
      <c r="K53" s="53" t="s">
        <v>66</v>
      </c>
      <c r="L53" s="54">
        <f>SUM(L27:L49)</f>
        <v>355215</v>
      </c>
    </row>
    <row r="54" spans="1:13" x14ac:dyDescent="0.2">
      <c r="A54" s="6"/>
      <c r="B54" s="80" t="s">
        <v>186</v>
      </c>
      <c r="C54" s="3"/>
      <c r="D54" s="3"/>
      <c r="E54" s="3"/>
      <c r="F54" s="5"/>
      <c r="G54" s="10">
        <f>+G20</f>
        <v>127100</v>
      </c>
    </row>
    <row r="55" spans="1:13" x14ac:dyDescent="0.2">
      <c r="A55" s="6"/>
      <c r="B55" s="80" t="s">
        <v>187</v>
      </c>
      <c r="C55" s="3"/>
      <c r="D55" s="3"/>
      <c r="E55" s="3"/>
      <c r="F55" s="5"/>
      <c r="G55" s="10">
        <f>+G21</f>
        <v>0</v>
      </c>
      <c r="H55" s="9" t="s">
        <v>45</v>
      </c>
    </row>
    <row r="56" spans="1:13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149302.29999999999</v>
      </c>
      <c r="H56" s="10">
        <f>SUM($G52:$G55)</f>
        <v>149302.29999999999</v>
      </c>
    </row>
    <row r="57" spans="1:13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504517.3</v>
      </c>
      <c r="K57" s="60"/>
      <c r="L57" s="32"/>
    </row>
    <row r="58" spans="1:13" ht="14.25" thickTop="1" thickBot="1" x14ac:dyDescent="0.25">
      <c r="A58" s="17"/>
      <c r="B58" s="7"/>
      <c r="C58" s="7"/>
      <c r="D58" s="7"/>
      <c r="E58" s="7"/>
      <c r="F58" s="7"/>
    </row>
    <row r="59" spans="1:13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-155394.29999999999</v>
      </c>
    </row>
    <row r="60" spans="1:13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'MAY23'!H61</f>
        <v>244988.92500000028</v>
      </c>
    </row>
    <row r="61" spans="1:13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89594.625000000291</v>
      </c>
    </row>
    <row r="62" spans="1:13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0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9"/>
  <sheetViews>
    <sheetView topLeftCell="A10" zoomScale="90" zoomScaleNormal="9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4.28515625" customWidth="1"/>
    <col min="8" max="8" width="14" customWidth="1"/>
    <col min="9" max="9" width="4.5703125" customWidth="1"/>
    <col min="10" max="10" width="2.5703125" bestFit="1" customWidth="1"/>
    <col min="11" max="11" width="52.140625" bestFit="1" customWidth="1"/>
    <col min="12" max="12" width="17.42578125" bestFit="1" customWidth="1"/>
    <col min="14" max="15" width="14.42578125" bestFit="1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2022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137</v>
      </c>
      <c r="G5" s="43"/>
    </row>
    <row r="6" spans="1:22" ht="10.5" customHeight="1" thickTop="1" x14ac:dyDescent="0.2">
      <c r="A6" s="1"/>
      <c r="M6" s="39" t="s">
        <v>188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67</v>
      </c>
      <c r="T6" s="39" t="s">
        <v>68</v>
      </c>
      <c r="U6" s="39" t="s">
        <v>67</v>
      </c>
      <c r="V6" s="39" t="s">
        <v>68</v>
      </c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2</v>
      </c>
      <c r="N7" s="48">
        <v>3</v>
      </c>
      <c r="O7" s="48">
        <f>+M7+7</f>
        <v>9</v>
      </c>
      <c r="P7" s="48">
        <f t="shared" ref="P7:T7" si="0">+N7+7</f>
        <v>10</v>
      </c>
      <c r="Q7" s="48">
        <f t="shared" si="0"/>
        <v>16</v>
      </c>
      <c r="R7" s="48">
        <f t="shared" si="0"/>
        <v>17</v>
      </c>
      <c r="S7" s="48">
        <f t="shared" si="0"/>
        <v>23</v>
      </c>
      <c r="T7" s="48">
        <f t="shared" si="0"/>
        <v>24</v>
      </c>
      <c r="U7" s="48">
        <v>30</v>
      </c>
      <c r="V7" s="48">
        <v>31</v>
      </c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78500</v>
      </c>
    </row>
    <row r="9" spans="1:22" x14ac:dyDescent="0.2">
      <c r="A9" s="8" t="s">
        <v>7</v>
      </c>
      <c r="B9" s="3"/>
      <c r="C9" s="3"/>
      <c r="D9" s="3"/>
      <c r="E9" s="3"/>
      <c r="F9" s="5"/>
      <c r="G9" s="10">
        <f>+L8</f>
        <v>78500</v>
      </c>
      <c r="J9" s="40" t="s">
        <v>80</v>
      </c>
      <c r="K9" s="30" t="s">
        <v>102</v>
      </c>
      <c r="L9" s="49">
        <f t="shared" ref="L9:L16" si="1">SUM(M9:AP9)</f>
        <v>186423</v>
      </c>
      <c r="M9">
        <v>6708</v>
      </c>
      <c r="N9">
        <f>5980+10050+11270</f>
        <v>27300</v>
      </c>
      <c r="O9">
        <v>6870</v>
      </c>
      <c r="P9">
        <f>5241+10100+10150</f>
        <v>25491</v>
      </c>
      <c r="Q9">
        <v>4860</v>
      </c>
      <c r="R9">
        <f>5241+1800+16890+8000+1170+11180</f>
        <v>44281</v>
      </c>
      <c r="S9">
        <v>4764</v>
      </c>
      <c r="T9">
        <f>6990+9500+12840</f>
        <v>29330</v>
      </c>
      <c r="U9">
        <v>5910</v>
      </c>
      <c r="V9">
        <f>6659+11780+1000+11470</f>
        <v>30909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 t="shared" ref="G10" si="2">L9</f>
        <v>186423</v>
      </c>
      <c r="J10" s="40" t="s">
        <v>81</v>
      </c>
      <c r="K10" s="30" t="s">
        <v>154</v>
      </c>
      <c r="L10" s="49">
        <f t="shared" si="1"/>
        <v>7030</v>
      </c>
      <c r="S10">
        <v>5030</v>
      </c>
      <c r="V10">
        <v>2000</v>
      </c>
    </row>
    <row r="11" spans="1:22" x14ac:dyDescent="0.2">
      <c r="A11" s="8" t="s">
        <v>10</v>
      </c>
      <c r="B11" s="3"/>
      <c r="C11" s="3"/>
      <c r="D11" s="3"/>
      <c r="E11" s="3"/>
      <c r="F11" s="5"/>
      <c r="G11" s="10">
        <f>L11</f>
        <v>31100</v>
      </c>
      <c r="J11" s="40" t="s">
        <v>107</v>
      </c>
      <c r="K11" s="30" t="s">
        <v>105</v>
      </c>
      <c r="L11" s="49">
        <f t="shared" si="1"/>
        <v>31100</v>
      </c>
      <c r="M11">
        <v>7000</v>
      </c>
      <c r="N11">
        <v>0</v>
      </c>
      <c r="O11">
        <v>2000</v>
      </c>
      <c r="P11">
        <v>0</v>
      </c>
      <c r="Q11">
        <f>10500+2600</f>
        <v>13100</v>
      </c>
      <c r="R11">
        <v>0</v>
      </c>
      <c r="S11">
        <v>7000</v>
      </c>
      <c r="U11">
        <v>2000</v>
      </c>
    </row>
    <row r="12" spans="1:22" x14ac:dyDescent="0.2">
      <c r="A12" s="8" t="s">
        <v>71</v>
      </c>
      <c r="B12" s="3"/>
      <c r="C12" s="3"/>
      <c r="D12" s="3"/>
      <c r="E12" s="3"/>
      <c r="F12" s="5"/>
      <c r="G12" s="10">
        <f>L12</f>
        <v>0</v>
      </c>
      <c r="J12" s="40" t="s">
        <v>108</v>
      </c>
      <c r="K12" s="30" t="s">
        <v>104</v>
      </c>
      <c r="L12" s="49">
        <f t="shared" si="1"/>
        <v>0</v>
      </c>
    </row>
    <row r="13" spans="1:22" x14ac:dyDescent="0.2">
      <c r="A13" s="8" t="s">
        <v>245</v>
      </c>
      <c r="B13" s="3"/>
      <c r="C13" s="3"/>
      <c r="D13" s="3"/>
      <c r="E13" s="3"/>
      <c r="F13" s="5"/>
      <c r="G13" s="10">
        <f>L10</f>
        <v>7030</v>
      </c>
      <c r="H13" s="9"/>
      <c r="J13" s="40" t="s">
        <v>119</v>
      </c>
      <c r="K13" s="30" t="s">
        <v>63</v>
      </c>
      <c r="L13" s="49">
        <f t="shared" si="1"/>
        <v>0</v>
      </c>
    </row>
    <row r="14" spans="1:22" x14ac:dyDescent="0.2">
      <c r="A14" s="62" t="s">
        <v>155</v>
      </c>
      <c r="B14" s="63"/>
      <c r="C14" s="63"/>
      <c r="D14" s="63"/>
      <c r="E14" s="63"/>
      <c r="F14" s="64"/>
      <c r="G14" s="67">
        <f>L13</f>
        <v>0</v>
      </c>
      <c r="J14" s="40" t="s">
        <v>120</v>
      </c>
      <c r="K14" s="30" t="s">
        <v>122</v>
      </c>
      <c r="L14" s="49">
        <f t="shared" si="1"/>
        <v>0</v>
      </c>
    </row>
    <row r="15" spans="1:22" x14ac:dyDescent="0.2">
      <c r="A15" s="8" t="s">
        <v>13</v>
      </c>
      <c r="B15" s="3"/>
      <c r="C15" s="3"/>
      <c r="D15" s="3"/>
      <c r="E15" s="3"/>
      <c r="F15" s="5"/>
      <c r="G15" s="10">
        <f>L14</f>
        <v>0</v>
      </c>
      <c r="J15" s="40" t="s">
        <v>121</v>
      </c>
      <c r="K15" s="30" t="s">
        <v>123</v>
      </c>
      <c r="L15" s="49">
        <f t="shared" si="1"/>
        <v>0</v>
      </c>
    </row>
    <row r="16" spans="1:22" x14ac:dyDescent="0.2">
      <c r="A16" s="8" t="s">
        <v>13</v>
      </c>
      <c r="B16" s="3"/>
      <c r="C16" s="3"/>
      <c r="D16" s="3"/>
      <c r="E16" s="3"/>
      <c r="F16" s="5"/>
      <c r="G16" s="10">
        <f>L15</f>
        <v>0</v>
      </c>
      <c r="J16" s="40" t="s">
        <v>85</v>
      </c>
      <c r="K16" s="30" t="s">
        <v>106</v>
      </c>
      <c r="L16" s="49">
        <f t="shared" si="1"/>
        <v>0</v>
      </c>
    </row>
    <row r="17" spans="1:21" x14ac:dyDescent="0.2">
      <c r="A17" s="8" t="s">
        <v>14</v>
      </c>
      <c r="B17" s="3"/>
      <c r="C17" s="3"/>
      <c r="D17" s="3"/>
      <c r="E17" s="3"/>
      <c r="F17" s="5"/>
      <c r="G17" s="10">
        <f>L16</f>
        <v>0</v>
      </c>
      <c r="H17" s="9" t="s">
        <v>11</v>
      </c>
      <c r="K17" s="50" t="s">
        <v>124</v>
      </c>
      <c r="L17" s="51">
        <f>SUM(L4:L12)</f>
        <v>303053</v>
      </c>
    </row>
    <row r="18" spans="1:21" x14ac:dyDescent="0.2">
      <c r="A18" s="11"/>
      <c r="B18" s="12"/>
      <c r="C18" s="12"/>
      <c r="D18" s="12"/>
      <c r="F18" s="13" t="s">
        <v>53</v>
      </c>
      <c r="G18" s="10">
        <f>SUM(G9:G17)</f>
        <v>303053</v>
      </c>
      <c r="H18" s="10">
        <f>SUM(G9:G17)</f>
        <v>303053</v>
      </c>
      <c r="J18" s="40" t="s">
        <v>86</v>
      </c>
      <c r="K18" s="30" t="s">
        <v>118</v>
      </c>
      <c r="L18" s="49">
        <f>SUM(M18:AP18)</f>
        <v>0</v>
      </c>
    </row>
    <row r="19" spans="1:21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SUM(M19:AP19)</f>
        <v>0</v>
      </c>
    </row>
    <row r="20" spans="1:21" x14ac:dyDescent="0.2">
      <c r="A20" s="8" t="s">
        <v>142</v>
      </c>
      <c r="B20" s="3"/>
      <c r="C20" s="3"/>
      <c r="D20" s="3"/>
      <c r="E20" s="3"/>
      <c r="F20" s="3"/>
      <c r="G20" s="10">
        <f>L18</f>
        <v>0</v>
      </c>
      <c r="K20" s="50" t="s">
        <v>128</v>
      </c>
      <c r="L20" s="51">
        <f>SUM(L18:L19)</f>
        <v>0</v>
      </c>
    </row>
    <row r="21" spans="1:21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50" t="s">
        <v>66</v>
      </c>
      <c r="L21" s="51">
        <f>SUM(L17,L20)</f>
        <v>303053</v>
      </c>
      <c r="M21" s="41"/>
    </row>
    <row r="22" spans="1:21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0</v>
      </c>
      <c r="H22" s="10">
        <f>G22</f>
        <v>0</v>
      </c>
    </row>
    <row r="23" spans="1:21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303053</v>
      </c>
      <c r="K23" s="55"/>
    </row>
    <row r="24" spans="1:21" ht="10.5" customHeight="1" thickTop="1" x14ac:dyDescent="0.2">
      <c r="A24" s="1"/>
    </row>
    <row r="25" spans="1:21" ht="15.75" x14ac:dyDescent="0.25">
      <c r="A25" s="85" t="s">
        <v>19</v>
      </c>
      <c r="B25" s="86"/>
      <c r="C25" s="86"/>
      <c r="D25" s="86"/>
      <c r="E25" s="86"/>
      <c r="F25" s="86"/>
      <c r="G25" s="86"/>
      <c r="H25" s="87"/>
    </row>
    <row r="26" spans="1:21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2</v>
      </c>
      <c r="N26" s="48">
        <v>3</v>
      </c>
      <c r="O26" s="48">
        <v>4</v>
      </c>
      <c r="P26" s="48">
        <v>5</v>
      </c>
      <c r="Q26" s="48">
        <v>6</v>
      </c>
      <c r="R26" s="48">
        <v>7</v>
      </c>
      <c r="S26" s="48">
        <v>8</v>
      </c>
      <c r="T26" s="48">
        <v>9</v>
      </c>
      <c r="U26" s="48">
        <v>10</v>
      </c>
    </row>
    <row r="27" spans="1:21" x14ac:dyDescent="0.2">
      <c r="A27" s="8"/>
      <c r="B27" s="3" t="s">
        <v>25</v>
      </c>
      <c r="C27" s="3"/>
      <c r="D27" s="3"/>
      <c r="E27" s="3"/>
      <c r="F27" s="3"/>
      <c r="G27" s="10">
        <f>+L27</f>
        <v>20000</v>
      </c>
      <c r="J27" s="40" t="s">
        <v>83</v>
      </c>
      <c r="K27" s="30" t="s">
        <v>69</v>
      </c>
      <c r="L27" s="49">
        <v>20000</v>
      </c>
      <c r="M27" s="32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>SUM(M28:AP28)</f>
        <v>0</v>
      </c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6"/>
      <c r="B29" s="4" t="s">
        <v>259</v>
      </c>
      <c r="C29" s="3"/>
      <c r="D29" s="3"/>
      <c r="E29" s="3"/>
      <c r="F29" s="3"/>
      <c r="G29" s="83">
        <f>+L29</f>
        <v>10000</v>
      </c>
      <c r="J29" s="40" t="s">
        <v>81</v>
      </c>
      <c r="K29" s="30" t="s">
        <v>158</v>
      </c>
      <c r="L29" s="49">
        <v>10000</v>
      </c>
      <c r="M29" s="32"/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6"/>
      <c r="B30" s="4" t="s">
        <v>193</v>
      </c>
      <c r="C30" s="3"/>
      <c r="D30" s="3"/>
      <c r="E30" s="3"/>
      <c r="F30" s="3"/>
      <c r="G30" s="10">
        <v>13000</v>
      </c>
      <c r="J30" s="40" t="s">
        <v>82</v>
      </c>
      <c r="K30" t="s">
        <v>192</v>
      </c>
      <c r="L30" s="49">
        <v>13000</v>
      </c>
      <c r="M30" s="32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6"/>
      <c r="B31" s="4" t="s">
        <v>22</v>
      </c>
      <c r="C31" s="3"/>
      <c r="D31" s="3"/>
      <c r="E31" s="3"/>
      <c r="F31" s="3"/>
      <c r="G31" s="10">
        <f>+L31</f>
        <v>40000</v>
      </c>
      <c r="J31" s="40" t="s">
        <v>84</v>
      </c>
      <c r="K31" t="s">
        <v>73</v>
      </c>
      <c r="L31" s="49">
        <v>40000</v>
      </c>
      <c r="M31" s="32" t="s">
        <v>225</v>
      </c>
      <c r="N31" s="32">
        <v>10000</v>
      </c>
      <c r="O31" s="32">
        <v>15000</v>
      </c>
      <c r="P31" s="32" t="s">
        <v>180</v>
      </c>
      <c r="Q31" s="32"/>
      <c r="R31" s="32"/>
      <c r="S31" s="32"/>
      <c r="T31" s="32"/>
      <c r="U31" s="32"/>
    </row>
    <row r="32" spans="1:21" x14ac:dyDescent="0.2">
      <c r="A32" s="6"/>
      <c r="B32" s="4" t="s">
        <v>55</v>
      </c>
      <c r="C32" s="3"/>
      <c r="D32" s="3"/>
      <c r="E32" s="3"/>
      <c r="F32" s="3"/>
      <c r="G32" s="10">
        <f>+'JUN22'!G32</f>
        <v>20700</v>
      </c>
      <c r="H32" s="9" t="s">
        <v>11</v>
      </c>
      <c r="J32" s="40" t="s">
        <v>85</v>
      </c>
      <c r="K32" t="s">
        <v>74</v>
      </c>
      <c r="L32" s="49">
        <v>20700</v>
      </c>
      <c r="M32" s="32"/>
      <c r="N32" s="32"/>
      <c r="O32" s="32"/>
      <c r="P32" s="32"/>
      <c r="Q32" s="32"/>
      <c r="R32" s="32"/>
      <c r="S32" s="32"/>
      <c r="T32" s="32"/>
      <c r="U32" s="32"/>
    </row>
    <row r="33" spans="1:21" x14ac:dyDescent="0.2">
      <c r="A33" s="6"/>
      <c r="B33" s="3"/>
      <c r="C33" s="3"/>
      <c r="D33" s="3"/>
      <c r="E33" s="3"/>
      <c r="F33" s="14" t="s">
        <v>23</v>
      </c>
      <c r="G33" s="10">
        <f>SUM($G27:$G32)</f>
        <v>103700</v>
      </c>
      <c r="H33" s="10">
        <f>SUM($G27:$G32)</f>
        <v>103700</v>
      </c>
      <c r="J33" s="40" t="s">
        <v>86</v>
      </c>
      <c r="K33" s="58" t="s">
        <v>154</v>
      </c>
      <c r="L33" s="49">
        <f t="shared" ref="L33:L38" si="3">SUM(M33:AP33)</f>
        <v>0</v>
      </c>
      <c r="Q33" s="32"/>
      <c r="R33" s="32"/>
      <c r="S33" s="32"/>
      <c r="T33" s="32"/>
      <c r="U33" s="32"/>
    </row>
    <row r="34" spans="1:21" x14ac:dyDescent="0.2">
      <c r="A34" s="8" t="s">
        <v>24</v>
      </c>
      <c r="B34" s="3"/>
      <c r="C34" s="3"/>
      <c r="D34" s="3"/>
      <c r="E34" s="3"/>
      <c r="F34" s="5"/>
      <c r="G34" s="65"/>
      <c r="H34" s="65"/>
      <c r="J34" s="40" t="s">
        <v>87</v>
      </c>
      <c r="K34" s="58" t="s">
        <v>76</v>
      </c>
      <c r="L34" s="49">
        <f t="shared" si="3"/>
        <v>0</v>
      </c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A35" s="6"/>
      <c r="B35" s="4" t="s">
        <v>27</v>
      </c>
      <c r="C35" s="3"/>
      <c r="D35" s="3"/>
      <c r="E35" s="3"/>
      <c r="F35" s="5"/>
      <c r="G35" s="67"/>
      <c r="H35" s="65"/>
      <c r="J35" s="40" t="s">
        <v>88</v>
      </c>
      <c r="K35" s="58" t="s">
        <v>77</v>
      </c>
      <c r="L35" s="49">
        <f t="shared" si="3"/>
        <v>0</v>
      </c>
      <c r="M35" s="32"/>
      <c r="N35" s="32"/>
      <c r="O35" s="32"/>
      <c r="P35" s="32"/>
      <c r="Q35" s="32"/>
      <c r="R35" s="32"/>
      <c r="S35" s="32"/>
      <c r="T35" s="32"/>
      <c r="U35" s="32"/>
    </row>
    <row r="36" spans="1:21" x14ac:dyDescent="0.2">
      <c r="A36" s="6"/>
      <c r="B36" s="4" t="s">
        <v>28</v>
      </c>
      <c r="C36" s="3"/>
      <c r="D36" s="3"/>
      <c r="E36" s="3"/>
      <c r="F36" s="5"/>
      <c r="G36" s="67"/>
      <c r="H36" s="65"/>
      <c r="J36" s="40" t="s">
        <v>89</v>
      </c>
      <c r="K36" s="58" t="s">
        <v>78</v>
      </c>
      <c r="L36" s="49">
        <f t="shared" si="3"/>
        <v>0</v>
      </c>
      <c r="M36" s="32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6"/>
      <c r="B37" s="4" t="s">
        <v>56</v>
      </c>
      <c r="C37" s="3"/>
      <c r="D37" s="3"/>
      <c r="E37" s="3"/>
      <c r="F37" s="5"/>
      <c r="G37" s="67"/>
      <c r="H37" s="65"/>
      <c r="J37" s="40" t="s">
        <v>90</v>
      </c>
      <c r="K37" s="30" t="s">
        <v>79</v>
      </c>
      <c r="L37" s="49">
        <f t="shared" si="3"/>
        <v>0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">
      <c r="A38" s="6"/>
      <c r="B38" s="4" t="s">
        <v>34</v>
      </c>
      <c r="C38" s="3"/>
      <c r="D38" s="3"/>
      <c r="E38" s="3"/>
      <c r="F38" s="5"/>
      <c r="G38" s="67"/>
      <c r="H38" s="68" t="s">
        <v>15</v>
      </c>
      <c r="J38" s="40" t="s">
        <v>91</v>
      </c>
      <c r="K38" s="30" t="s">
        <v>92</v>
      </c>
      <c r="L38" s="49">
        <f t="shared" si="3"/>
        <v>0</v>
      </c>
    </row>
    <row r="39" spans="1:21" x14ac:dyDescent="0.2">
      <c r="A39" s="66"/>
      <c r="B39" s="63"/>
      <c r="C39" s="63"/>
      <c r="D39" s="63"/>
      <c r="E39" s="63"/>
      <c r="F39" s="69" t="s">
        <v>31</v>
      </c>
      <c r="G39" s="67">
        <f>SUM($G35:$G38)</f>
        <v>0</v>
      </c>
      <c r="H39" s="67">
        <f>SUM($G35:$G38)</f>
        <v>0</v>
      </c>
      <c r="J39" s="40" t="s">
        <v>93</v>
      </c>
      <c r="K39" s="30" t="s">
        <v>94</v>
      </c>
      <c r="L39" s="49">
        <f t="shared" ref="L39:L42" si="4">SUM(M39:AP39)</f>
        <v>0</v>
      </c>
    </row>
    <row r="40" spans="1:21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 t="shared" si="4"/>
        <v>0</v>
      </c>
    </row>
    <row r="41" spans="1:21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96</v>
      </c>
      <c r="L41" s="49">
        <v>0</v>
      </c>
      <c r="M41" t="s">
        <v>223</v>
      </c>
    </row>
    <row r="42" spans="1:21" x14ac:dyDescent="0.2">
      <c r="A42" s="6"/>
      <c r="B42" s="4" t="s">
        <v>35</v>
      </c>
      <c r="C42" s="3"/>
      <c r="D42" s="3"/>
      <c r="E42" s="3"/>
      <c r="F42" s="5"/>
      <c r="G42" s="10">
        <f t="shared" ref="G42:G48" si="5">L38</f>
        <v>0</v>
      </c>
      <c r="J42" s="40" t="s">
        <v>100</v>
      </c>
      <c r="K42" s="30" t="s">
        <v>97</v>
      </c>
      <c r="L42" s="49">
        <f t="shared" si="4"/>
        <v>0</v>
      </c>
    </row>
    <row r="43" spans="1:21" x14ac:dyDescent="0.2">
      <c r="A43" s="6"/>
      <c r="B43" s="4" t="s">
        <v>29</v>
      </c>
      <c r="C43" s="3"/>
      <c r="D43" s="3"/>
      <c r="E43" s="3"/>
      <c r="F43" s="5"/>
      <c r="G43" s="10">
        <v>0</v>
      </c>
      <c r="J43" s="40" t="s">
        <v>111</v>
      </c>
      <c r="K43" s="30" t="s">
        <v>65</v>
      </c>
      <c r="L43" s="49">
        <v>50000</v>
      </c>
      <c r="M43" t="s">
        <v>222</v>
      </c>
    </row>
    <row r="44" spans="1:21" x14ac:dyDescent="0.2">
      <c r="A44" s="6"/>
      <c r="B44" s="4" t="s">
        <v>36</v>
      </c>
      <c r="C44" s="3"/>
      <c r="D44" s="3"/>
      <c r="E44" s="3"/>
      <c r="F44" s="5"/>
      <c r="G44" s="10">
        <f t="shared" si="5"/>
        <v>0</v>
      </c>
      <c r="J44" s="40" t="s">
        <v>109</v>
      </c>
      <c r="K44" s="30" t="s">
        <v>141</v>
      </c>
      <c r="L44" s="49">
        <f>SUM(M44:AP44)</f>
        <v>0</v>
      </c>
    </row>
    <row r="45" spans="1:21" x14ac:dyDescent="0.2">
      <c r="A45" s="6"/>
      <c r="B45" s="4" t="s">
        <v>37</v>
      </c>
      <c r="C45" s="3"/>
      <c r="D45" s="3"/>
      <c r="E45" s="3"/>
      <c r="F45" s="5"/>
      <c r="G45" s="10">
        <v>0</v>
      </c>
      <c r="J45" s="40" t="s">
        <v>110</v>
      </c>
      <c r="K45" s="30" t="s">
        <v>65</v>
      </c>
      <c r="L45" s="49">
        <v>0</v>
      </c>
      <c r="M45" t="s">
        <v>224</v>
      </c>
    </row>
    <row r="46" spans="1:21" x14ac:dyDescent="0.2">
      <c r="A46" s="6"/>
      <c r="B46" s="4" t="s">
        <v>38</v>
      </c>
      <c r="C46" s="3"/>
      <c r="D46" s="3"/>
      <c r="E46" s="3"/>
      <c r="F46" s="5"/>
      <c r="G46" s="10">
        <v>0</v>
      </c>
      <c r="H46" t="s">
        <v>189</v>
      </c>
      <c r="J46" s="40" t="s">
        <v>112</v>
      </c>
      <c r="K46" s="30" t="s">
        <v>116</v>
      </c>
      <c r="L46" s="49">
        <f>SUM(M46:AP46)</f>
        <v>0</v>
      </c>
    </row>
    <row r="47" spans="1:21" x14ac:dyDescent="0.2">
      <c r="A47" s="6"/>
      <c r="B47" s="4" t="s">
        <v>153</v>
      </c>
      <c r="C47" s="3"/>
      <c r="D47" s="3"/>
      <c r="E47" s="3"/>
      <c r="F47" s="5"/>
      <c r="G47" s="10">
        <f>+L43</f>
        <v>50000</v>
      </c>
      <c r="J47" s="40" t="s">
        <v>113</v>
      </c>
      <c r="K47" s="30" t="s">
        <v>117</v>
      </c>
      <c r="L47" s="49">
        <f>SUM(M47:AP47)</f>
        <v>0</v>
      </c>
    </row>
    <row r="48" spans="1:21" x14ac:dyDescent="0.2">
      <c r="A48" s="8" t="s">
        <v>30</v>
      </c>
      <c r="B48" s="3" t="s">
        <v>152</v>
      </c>
      <c r="C48" s="3"/>
      <c r="D48" s="3"/>
      <c r="E48" s="3"/>
      <c r="F48" s="5"/>
      <c r="G48" s="10">
        <f t="shared" si="5"/>
        <v>0</v>
      </c>
      <c r="J48" s="40" t="s">
        <v>114</v>
      </c>
      <c r="K48" s="30" t="s">
        <v>118</v>
      </c>
      <c r="L48" s="49">
        <f>SUM(M48:AP48)</f>
        <v>0</v>
      </c>
    </row>
    <row r="49" spans="1:14" x14ac:dyDescent="0.2">
      <c r="A49" s="8" t="s">
        <v>0</v>
      </c>
      <c r="B49" s="3" t="s">
        <v>39</v>
      </c>
      <c r="C49" s="3" t="s">
        <v>221</v>
      </c>
      <c r="D49" s="3"/>
      <c r="E49" s="3"/>
      <c r="F49" s="5"/>
      <c r="G49" s="10">
        <v>0</v>
      </c>
      <c r="H49" s="9" t="s">
        <v>18</v>
      </c>
      <c r="J49" s="40" t="s">
        <v>115</v>
      </c>
      <c r="K49" s="30" t="s">
        <v>118</v>
      </c>
      <c r="L49" s="49">
        <f>SUM(M49:AP49)</f>
        <v>0</v>
      </c>
    </row>
    <row r="50" spans="1:14" x14ac:dyDescent="0.2">
      <c r="A50" s="6"/>
      <c r="B50" s="3"/>
      <c r="C50" s="3"/>
      <c r="D50" s="3"/>
      <c r="E50" s="3"/>
      <c r="F50" s="14" t="s">
        <v>40</v>
      </c>
      <c r="G50" s="10">
        <f>SUM($G41:$G49)</f>
        <v>50000</v>
      </c>
      <c r="H50" s="10">
        <f>SUM($G41:$G49)</f>
        <v>50000</v>
      </c>
      <c r="K50" s="53" t="s">
        <v>124</v>
      </c>
      <c r="L50" s="54">
        <f>SUM(L27:L32)</f>
        <v>103700</v>
      </c>
    </row>
    <row r="51" spans="1:14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4" x14ac:dyDescent="0.2">
      <c r="A52" s="6"/>
      <c r="B52" s="4" t="s">
        <v>42</v>
      </c>
      <c r="C52" s="3"/>
      <c r="D52" s="3"/>
      <c r="E52" s="3"/>
      <c r="F52" s="5"/>
      <c r="G52" s="10">
        <f>(H18*5)/100</f>
        <v>15152.65</v>
      </c>
      <c r="K52" s="53" t="s">
        <v>126</v>
      </c>
      <c r="L52" s="54">
        <f>SUM(L37:L45)</f>
        <v>50000</v>
      </c>
    </row>
    <row r="53" spans="1:14" x14ac:dyDescent="0.2">
      <c r="A53" s="6"/>
      <c r="B53" s="4" t="s">
        <v>58</v>
      </c>
      <c r="C53" s="3"/>
      <c r="D53" s="3"/>
      <c r="E53" s="3"/>
      <c r="F53" s="5"/>
      <c r="G53" s="10">
        <f>(H18*5)/100</f>
        <v>15152.65</v>
      </c>
      <c r="K53" s="53" t="s">
        <v>66</v>
      </c>
      <c r="L53" s="54">
        <f>L50+L52</f>
        <v>153700</v>
      </c>
    </row>
    <row r="54" spans="1:14" x14ac:dyDescent="0.2">
      <c r="A54" s="6"/>
      <c r="B54" s="57" t="s">
        <v>145</v>
      </c>
      <c r="C54" s="3"/>
      <c r="D54" s="3"/>
      <c r="E54" s="3"/>
      <c r="F54" s="5"/>
      <c r="G54" s="10">
        <f>L48</f>
        <v>0</v>
      </c>
    </row>
    <row r="55" spans="1:14" x14ac:dyDescent="0.2">
      <c r="A55" s="6"/>
      <c r="B55" s="57" t="s">
        <v>146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4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30305.3</v>
      </c>
      <c r="H56" s="10">
        <f>SUM($G52:$G55)</f>
        <v>30305.3</v>
      </c>
      <c r="K56" s="70"/>
      <c r="L56" s="71"/>
      <c r="M56" s="72"/>
      <c r="N56" s="72"/>
    </row>
    <row r="57" spans="1:14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H33+H50+H56</f>
        <v>184005.3</v>
      </c>
      <c r="K57" s="73"/>
      <c r="L57" s="74"/>
      <c r="M57" s="72"/>
      <c r="N57" s="72"/>
    </row>
    <row r="58" spans="1:14" ht="14.25" thickTop="1" thickBot="1" x14ac:dyDescent="0.25">
      <c r="A58" s="17"/>
      <c r="B58" s="7"/>
      <c r="C58" s="7"/>
      <c r="D58" s="7"/>
      <c r="E58" s="7"/>
      <c r="F58" s="7"/>
      <c r="K58" s="73"/>
      <c r="L58" s="72"/>
      <c r="M58" s="72"/>
      <c r="N58" s="72"/>
    </row>
    <row r="59" spans="1:14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119047.70000000001</v>
      </c>
      <c r="K59" s="73"/>
      <c r="L59" s="72"/>
      <c r="M59" s="71"/>
      <c r="N59" s="72"/>
    </row>
    <row r="60" spans="1:14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'JUN22'!H61</f>
        <v>89594.625000000291</v>
      </c>
      <c r="K60" s="73"/>
      <c r="L60" s="72"/>
      <c r="M60" s="71"/>
      <c r="N60" s="72"/>
    </row>
    <row r="61" spans="1:14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208642.3250000003</v>
      </c>
      <c r="K61" s="73"/>
      <c r="L61" s="72"/>
      <c r="M61" s="71"/>
      <c r="N61" s="72"/>
    </row>
    <row r="62" spans="1:14" ht="13.5" thickTop="1" x14ac:dyDescent="0.2">
      <c r="K62" s="71"/>
      <c r="L62" s="75"/>
      <c r="M62" s="71"/>
      <c r="N62" s="72"/>
    </row>
    <row r="63" spans="1:14" x14ac:dyDescent="0.2">
      <c r="K63" s="72"/>
      <c r="L63" s="72"/>
      <c r="M63" s="73"/>
      <c r="N63" s="72"/>
    </row>
    <row r="64" spans="1:14" x14ac:dyDescent="0.2">
      <c r="K64" s="72"/>
      <c r="L64" s="72"/>
      <c r="M64" s="73"/>
      <c r="N64" s="72"/>
    </row>
    <row r="65" spans="11:14" x14ac:dyDescent="0.2">
      <c r="K65" s="76"/>
      <c r="L65" s="77"/>
      <c r="M65" s="73"/>
      <c r="N65" s="72"/>
    </row>
    <row r="66" spans="11:14" x14ac:dyDescent="0.2">
      <c r="K66" s="72"/>
      <c r="L66" s="72"/>
      <c r="M66" s="73"/>
      <c r="N66" s="72"/>
    </row>
    <row r="67" spans="11:14" x14ac:dyDescent="0.2">
      <c r="K67" s="72"/>
      <c r="L67" s="72"/>
      <c r="M67" s="71"/>
      <c r="N67" s="72"/>
    </row>
    <row r="68" spans="11:14" x14ac:dyDescent="0.2">
      <c r="K68" s="72"/>
      <c r="L68" s="72"/>
      <c r="M68" s="71"/>
      <c r="N68" s="72"/>
    </row>
    <row r="69" spans="11:14" x14ac:dyDescent="0.2">
      <c r="K69" s="72"/>
      <c r="L69" s="72"/>
      <c r="M69" s="73"/>
      <c r="N69" s="72"/>
    </row>
  </sheetData>
  <mergeCells count="2">
    <mergeCell ref="A1:H1"/>
    <mergeCell ref="A7:H7"/>
  </mergeCells>
  <pageMargins left="0.37" right="0.75" top="0.28000000000000003" bottom="1" header="0.26" footer="0"/>
  <pageSetup paperSize="9" scale="92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3"/>
  <sheetViews>
    <sheetView topLeftCell="A1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8.7109375" customWidth="1"/>
    <col min="8" max="8" width="13.425781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6" bestFit="1" customWidth="1"/>
    <col min="13" max="14" width="16" customWidth="1"/>
    <col min="15" max="15" width="12.5703125" bestFit="1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2022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138</v>
      </c>
      <c r="G5" s="43"/>
    </row>
    <row r="6" spans="1:22" ht="10.5" customHeight="1" thickTop="1" x14ac:dyDescent="0.2">
      <c r="A6" s="1"/>
      <c r="M6" s="39" t="s">
        <v>261</v>
      </c>
      <c r="N6" s="39" t="s">
        <v>260</v>
      </c>
      <c r="O6" s="39" t="s">
        <v>68</v>
      </c>
      <c r="P6" s="39" t="s">
        <v>67</v>
      </c>
      <c r="Q6" s="39" t="s">
        <v>68</v>
      </c>
      <c r="R6" s="39"/>
      <c r="S6" s="39" t="s">
        <v>67</v>
      </c>
      <c r="T6" s="39" t="s">
        <v>68</v>
      </c>
      <c r="U6" s="39" t="s">
        <v>67</v>
      </c>
      <c r="V6" s="39" t="s">
        <v>68</v>
      </c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2</v>
      </c>
      <c r="N7" s="48">
        <v>6</v>
      </c>
      <c r="O7" s="48">
        <v>7</v>
      </c>
      <c r="P7" s="48">
        <f>+N7+7</f>
        <v>13</v>
      </c>
      <c r="Q7" s="48">
        <f>+O7+7</f>
        <v>14</v>
      </c>
      <c r="R7" s="48">
        <v>15</v>
      </c>
      <c r="S7" s="48">
        <f>+P7+7</f>
        <v>20</v>
      </c>
      <c r="T7" s="48">
        <f>+Q7+7</f>
        <v>21</v>
      </c>
      <c r="U7" s="48">
        <f>+S7+7</f>
        <v>27</v>
      </c>
      <c r="V7" s="48">
        <f>+T7+7</f>
        <v>28</v>
      </c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84500</v>
      </c>
      <c r="M8" s="90"/>
      <c r="N8" s="90"/>
    </row>
    <row r="9" spans="1:22" x14ac:dyDescent="0.2">
      <c r="A9" s="8" t="s">
        <v>7</v>
      </c>
      <c r="B9" s="3"/>
      <c r="C9" s="3"/>
      <c r="D9" s="3"/>
      <c r="E9" s="3"/>
      <c r="F9" s="5"/>
      <c r="G9" s="10">
        <f>L8</f>
        <v>84500</v>
      </c>
      <c r="J9" s="40" t="s">
        <v>80</v>
      </c>
      <c r="K9" s="30" t="s">
        <v>102</v>
      </c>
      <c r="L9" s="49">
        <f>SUM(M9:AP9)</f>
        <v>176477</v>
      </c>
      <c r="M9" s="90">
        <v>3970</v>
      </c>
      <c r="N9" s="90">
        <v>9685</v>
      </c>
      <c r="O9">
        <f>8135+7800+11070+10000</f>
        <v>37005</v>
      </c>
      <c r="P9">
        <v>14310</v>
      </c>
      <c r="Q9">
        <f>8190+12770+7590</f>
        <v>28550</v>
      </c>
      <c r="R9">
        <f>8440+5560</f>
        <v>14000</v>
      </c>
      <c r="S9">
        <v>5450</v>
      </c>
      <c r="T9">
        <f>5945+15790+9540</f>
        <v>31275</v>
      </c>
      <c r="U9">
        <v>5290</v>
      </c>
      <c r="V9">
        <f>4122+11770+11050</f>
        <v>26942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 t="shared" ref="G10:G12" si="0">L9</f>
        <v>176477</v>
      </c>
      <c r="J10" s="40" t="s">
        <v>81</v>
      </c>
      <c r="K10" s="30" t="s">
        <v>154</v>
      </c>
      <c r="L10" s="49">
        <f t="shared" ref="L10:L11" si="1">SUM(M10:AP10)</f>
        <v>2790</v>
      </c>
      <c r="M10" s="90"/>
      <c r="O10">
        <v>1290</v>
      </c>
      <c r="U10">
        <v>1500</v>
      </c>
    </row>
    <row r="11" spans="1:22" x14ac:dyDescent="0.2">
      <c r="A11" s="8" t="s">
        <v>226</v>
      </c>
      <c r="B11" s="3"/>
      <c r="C11" s="3"/>
      <c r="D11" s="3"/>
      <c r="E11" s="3"/>
      <c r="F11" s="5"/>
      <c r="G11" s="10"/>
      <c r="J11" s="40" t="s">
        <v>107</v>
      </c>
      <c r="K11" s="30" t="s">
        <v>105</v>
      </c>
      <c r="L11" s="49">
        <f t="shared" si="1"/>
        <v>17000</v>
      </c>
      <c r="M11" s="90"/>
      <c r="N11" s="90">
        <v>4000</v>
      </c>
      <c r="O11">
        <v>0</v>
      </c>
      <c r="P11">
        <v>4500</v>
      </c>
      <c r="S11">
        <v>1000</v>
      </c>
      <c r="U11">
        <v>7500</v>
      </c>
    </row>
    <row r="12" spans="1:22" x14ac:dyDescent="0.2">
      <c r="A12" s="8" t="s">
        <v>10</v>
      </c>
      <c r="B12" s="3"/>
      <c r="C12" s="3"/>
      <c r="D12" s="3"/>
      <c r="E12" s="3"/>
      <c r="F12" s="5"/>
      <c r="G12" s="10">
        <f t="shared" si="0"/>
        <v>17000</v>
      </c>
      <c r="J12" s="40" t="s">
        <v>108</v>
      </c>
      <c r="K12" s="30" t="s">
        <v>104</v>
      </c>
      <c r="L12" s="49">
        <f>SUM(O12:AP12)</f>
        <v>0</v>
      </c>
      <c r="M12" s="90"/>
      <c r="N12" s="90"/>
      <c r="O12">
        <v>0</v>
      </c>
    </row>
    <row r="13" spans="1:22" x14ac:dyDescent="0.2">
      <c r="H13" s="9"/>
      <c r="J13" s="40" t="s">
        <v>119</v>
      </c>
      <c r="K13" s="30" t="s">
        <v>156</v>
      </c>
      <c r="L13" s="49">
        <f>SUM(O13:AP13)</f>
        <v>0</v>
      </c>
      <c r="M13" s="90"/>
      <c r="N13" s="90"/>
    </row>
    <row r="14" spans="1:22" x14ac:dyDescent="0.2">
      <c r="A14" s="8" t="s">
        <v>227</v>
      </c>
      <c r="B14" s="3"/>
      <c r="C14" s="3"/>
      <c r="D14" s="3"/>
      <c r="E14" s="3"/>
      <c r="F14" s="5"/>
      <c r="G14" s="10">
        <f>+L10</f>
        <v>2790</v>
      </c>
      <c r="J14" s="40" t="s">
        <v>120</v>
      </c>
      <c r="K14" s="30" t="s">
        <v>122</v>
      </c>
      <c r="L14" s="49">
        <f>SUM(O14:AP14)</f>
        <v>0</v>
      </c>
      <c r="M14" s="90"/>
      <c r="N14" s="90"/>
    </row>
    <row r="15" spans="1:22" x14ac:dyDescent="0.2">
      <c r="A15" s="8" t="s">
        <v>13</v>
      </c>
      <c r="B15" s="3"/>
      <c r="C15" s="3"/>
      <c r="D15" s="3"/>
      <c r="E15" s="3"/>
      <c r="F15" s="5"/>
      <c r="G15" s="10">
        <f>L13</f>
        <v>0</v>
      </c>
      <c r="H15" s="41"/>
      <c r="J15" s="40" t="s">
        <v>121</v>
      </c>
      <c r="K15" s="30" t="s">
        <v>123</v>
      </c>
      <c r="L15" s="49">
        <f>SUM(O15:AP15)</f>
        <v>0</v>
      </c>
      <c r="M15" s="90"/>
      <c r="N15" s="90"/>
    </row>
    <row r="16" spans="1:22" x14ac:dyDescent="0.2">
      <c r="A16" s="8" t="s">
        <v>13</v>
      </c>
      <c r="B16" s="3"/>
      <c r="C16" s="3"/>
      <c r="D16" s="3"/>
      <c r="E16" s="3"/>
      <c r="F16" s="5"/>
      <c r="G16" s="10">
        <f>O23</f>
        <v>0</v>
      </c>
      <c r="J16" s="40" t="s">
        <v>85</v>
      </c>
      <c r="K16" s="30" t="s">
        <v>106</v>
      </c>
      <c r="L16" s="49">
        <f>SUM(O16:AP16)</f>
        <v>0</v>
      </c>
      <c r="M16" s="90"/>
      <c r="N16" s="90"/>
    </row>
    <row r="17" spans="1:22" x14ac:dyDescent="0.2">
      <c r="A17" s="8" t="s">
        <v>14</v>
      </c>
      <c r="B17" s="3"/>
      <c r="C17" s="3"/>
      <c r="D17" s="3"/>
      <c r="E17" s="3"/>
      <c r="F17" s="5"/>
      <c r="G17" s="10">
        <f>L15</f>
        <v>0</v>
      </c>
      <c r="K17" s="50" t="s">
        <v>124</v>
      </c>
      <c r="L17" s="51">
        <f>L8+L9+L10+L11+L12+L14+L15+L16</f>
        <v>280767</v>
      </c>
      <c r="M17" s="90"/>
      <c r="N17" s="90"/>
    </row>
    <row r="18" spans="1:22" x14ac:dyDescent="0.2">
      <c r="A18" s="11"/>
      <c r="B18" s="12"/>
      <c r="C18" s="3"/>
      <c r="D18" s="3"/>
      <c r="E18" s="3"/>
      <c r="F18" s="5"/>
      <c r="G18" s="10">
        <f>L16</f>
        <v>0</v>
      </c>
      <c r="H18" s="9" t="s">
        <v>11</v>
      </c>
      <c r="J18" s="40" t="s">
        <v>86</v>
      </c>
      <c r="K18" s="30" t="s">
        <v>118</v>
      </c>
      <c r="L18" s="49">
        <f>SUM(O18:AP18)</f>
        <v>0</v>
      </c>
      <c r="M18" s="90"/>
      <c r="N18" s="90"/>
    </row>
    <row r="19" spans="1:22" x14ac:dyDescent="0.2">
      <c r="A19" s="8" t="s">
        <v>51</v>
      </c>
      <c r="B19" s="3"/>
      <c r="C19" s="12"/>
      <c r="D19" s="12"/>
      <c r="F19" s="13" t="s">
        <v>53</v>
      </c>
      <c r="G19" s="10">
        <f>SUM(G9:G18)-G15-G16</f>
        <v>280767</v>
      </c>
      <c r="H19" s="10">
        <f>SUM(G9:G18)-G15-G16</f>
        <v>280767</v>
      </c>
      <c r="J19" s="40" t="s">
        <v>87</v>
      </c>
      <c r="K19" s="30" t="s">
        <v>118</v>
      </c>
      <c r="L19" s="49">
        <f>SUM(O19:AP19)</f>
        <v>0</v>
      </c>
      <c r="M19" s="90"/>
      <c r="N19" s="90"/>
    </row>
    <row r="20" spans="1:22" x14ac:dyDescent="0.2">
      <c r="A20" s="8" t="s">
        <v>16</v>
      </c>
      <c r="B20" s="3"/>
      <c r="C20" s="3"/>
      <c r="D20" s="3"/>
      <c r="E20" s="3"/>
      <c r="F20" s="5"/>
      <c r="K20" s="50" t="s">
        <v>128</v>
      </c>
      <c r="L20" s="51">
        <f>SUM(L18:L19)</f>
        <v>0</v>
      </c>
      <c r="M20" s="90"/>
      <c r="N20" s="90"/>
    </row>
    <row r="21" spans="1:22" x14ac:dyDescent="0.2">
      <c r="A21" s="8" t="s">
        <v>17</v>
      </c>
      <c r="B21" s="3"/>
      <c r="C21" s="3"/>
      <c r="D21" s="3"/>
      <c r="E21" s="3"/>
      <c r="F21" s="3"/>
      <c r="G21" s="10">
        <f>L18</f>
        <v>0</v>
      </c>
      <c r="K21" s="50" t="s">
        <v>66</v>
      </c>
      <c r="L21" s="51">
        <f>SUM(L17,L20)</f>
        <v>280767</v>
      </c>
      <c r="M21" s="51"/>
      <c r="N21" s="51"/>
      <c r="P21" s="41"/>
    </row>
    <row r="22" spans="1:22" x14ac:dyDescent="0.2">
      <c r="A22" s="8"/>
      <c r="B22" s="3"/>
      <c r="C22" s="3"/>
      <c r="D22" s="3"/>
      <c r="E22" s="3"/>
      <c r="F22" s="3"/>
      <c r="G22" s="10">
        <f>L19</f>
        <v>0</v>
      </c>
      <c r="H22" s="9" t="s">
        <v>15</v>
      </c>
    </row>
    <row r="23" spans="1:22" ht="13.5" thickBot="1" x14ac:dyDescent="0.25">
      <c r="A23" s="6"/>
      <c r="B23" s="3"/>
      <c r="C23" s="3"/>
      <c r="D23" s="3"/>
      <c r="E23" s="3"/>
      <c r="F23" s="14" t="s">
        <v>54</v>
      </c>
      <c r="G23" s="10">
        <f>SUM($G21:$G22)</f>
        <v>0</v>
      </c>
      <c r="H23" s="10">
        <f>G23</f>
        <v>0</v>
      </c>
      <c r="L23" s="41"/>
      <c r="M23" s="41"/>
      <c r="N23" s="41"/>
      <c r="O23" s="41"/>
    </row>
    <row r="24" spans="1:22" ht="17.25" customHeight="1" thickTop="1" thickBot="1" x14ac:dyDescent="0.3">
      <c r="A24" s="1"/>
      <c r="C24" s="3"/>
      <c r="D24" s="3"/>
      <c r="E24" s="3"/>
      <c r="F24" s="3"/>
      <c r="G24" s="15" t="s">
        <v>52</v>
      </c>
      <c r="H24" s="16">
        <f>SUM(H19+H23)</f>
        <v>280767</v>
      </c>
    </row>
    <row r="25" spans="1:22" ht="16.5" thickTop="1" x14ac:dyDescent="0.25">
      <c r="A25" s="85" t="s">
        <v>19</v>
      </c>
      <c r="B25" s="86"/>
    </row>
    <row r="26" spans="1:22" ht="15.75" x14ac:dyDescent="0.25">
      <c r="A26" s="8" t="s">
        <v>26</v>
      </c>
      <c r="B26" s="3"/>
      <c r="C26" s="86"/>
      <c r="D26" s="86"/>
      <c r="E26" s="86"/>
      <c r="F26" s="86"/>
      <c r="G26" s="86"/>
      <c r="H26" s="87"/>
      <c r="K26" s="52" t="s">
        <v>19</v>
      </c>
      <c r="L26" s="47" t="s">
        <v>61</v>
      </c>
      <c r="M26" s="47"/>
      <c r="N26" s="47"/>
      <c r="O26" s="48">
        <f>+O7</f>
        <v>7</v>
      </c>
      <c r="P26" s="48">
        <f t="shared" ref="P26:V26" si="2">+P7</f>
        <v>13</v>
      </c>
      <c r="Q26" s="48">
        <f t="shared" si="2"/>
        <v>14</v>
      </c>
      <c r="R26" s="48"/>
      <c r="S26" s="48">
        <f t="shared" si="2"/>
        <v>20</v>
      </c>
      <c r="T26" s="48">
        <f t="shared" si="2"/>
        <v>21</v>
      </c>
      <c r="U26" s="48">
        <f t="shared" si="2"/>
        <v>27</v>
      </c>
      <c r="V26" s="48">
        <f t="shared" si="2"/>
        <v>28</v>
      </c>
    </row>
    <row r="27" spans="1:22" x14ac:dyDescent="0.2">
      <c r="A27" s="8"/>
      <c r="B27" s="3" t="s">
        <v>25</v>
      </c>
      <c r="C27" s="3"/>
      <c r="D27" s="3"/>
      <c r="E27" s="3"/>
      <c r="F27" s="5"/>
      <c r="G27" s="91">
        <v>30000</v>
      </c>
      <c r="J27" s="40" t="s">
        <v>83</v>
      </c>
      <c r="K27" s="30" t="s">
        <v>69</v>
      </c>
      <c r="L27" s="49">
        <f t="shared" ref="L27:L49" si="3">SUM(O27:AP27)</f>
        <v>0</v>
      </c>
      <c r="M27" s="49"/>
      <c r="N27" s="49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6"/>
      <c r="B28" s="4" t="s">
        <v>20</v>
      </c>
      <c r="C28" s="3"/>
      <c r="D28" s="3"/>
      <c r="E28" s="3"/>
      <c r="F28" s="3"/>
      <c r="G28" s="92">
        <v>0</v>
      </c>
      <c r="J28" s="40" t="s">
        <v>80</v>
      </c>
      <c r="K28" t="s">
        <v>72</v>
      </c>
      <c r="L28" s="49">
        <f t="shared" si="3"/>
        <v>0</v>
      </c>
      <c r="M28" s="49"/>
      <c r="N28" s="49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6"/>
      <c r="B29" s="4" t="s">
        <v>21</v>
      </c>
      <c r="C29" s="3"/>
      <c r="D29" s="3"/>
      <c r="E29" s="3"/>
      <c r="F29" s="3"/>
      <c r="G29" s="92">
        <v>15000</v>
      </c>
      <c r="J29" s="40" t="s">
        <v>81</v>
      </c>
      <c r="K29" s="30" t="s">
        <v>157</v>
      </c>
      <c r="L29" s="49">
        <f t="shared" si="3"/>
        <v>0</v>
      </c>
      <c r="M29" s="49"/>
      <c r="N29" s="49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6"/>
      <c r="B30" s="4" t="s">
        <v>148</v>
      </c>
      <c r="C30" s="3"/>
      <c r="D30" s="3"/>
      <c r="E30" s="3"/>
      <c r="F30" s="3"/>
      <c r="G30" s="91">
        <v>0</v>
      </c>
      <c r="J30" s="40" t="s">
        <v>82</v>
      </c>
      <c r="K30" t="s">
        <v>149</v>
      </c>
      <c r="L30" s="49">
        <f t="shared" si="3"/>
        <v>0</v>
      </c>
      <c r="M30" s="49"/>
      <c r="N30" s="49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6"/>
      <c r="B31" s="4" t="s">
        <v>22</v>
      </c>
      <c r="C31" s="3"/>
      <c r="D31" s="3"/>
      <c r="E31" s="3"/>
      <c r="F31" s="3"/>
      <c r="G31" s="92">
        <f>30000+22000</f>
        <v>52000</v>
      </c>
      <c r="J31" s="40" t="s">
        <v>84</v>
      </c>
      <c r="K31" t="s">
        <v>73</v>
      </c>
      <c r="L31" s="49">
        <f t="shared" si="3"/>
        <v>0</v>
      </c>
      <c r="M31" s="49"/>
      <c r="N31" s="49"/>
      <c r="O31" s="32"/>
      <c r="P31" s="32"/>
      <c r="Q31" s="32"/>
      <c r="R31" s="32"/>
      <c r="S31" s="32"/>
      <c r="T31" s="32"/>
      <c r="U31" s="32"/>
      <c r="V31" s="32"/>
    </row>
    <row r="32" spans="1:22" x14ac:dyDescent="0.2">
      <c r="A32" s="6"/>
      <c r="B32" s="4" t="s">
        <v>55</v>
      </c>
      <c r="C32" s="3"/>
      <c r="D32" s="3"/>
      <c r="E32" s="3"/>
      <c r="F32" s="3"/>
      <c r="G32" s="92">
        <f>+'JUL22'!G32</f>
        <v>20700</v>
      </c>
      <c r="J32" s="40" t="s">
        <v>85</v>
      </c>
      <c r="K32" t="s">
        <v>74</v>
      </c>
      <c r="L32" s="49">
        <f t="shared" si="3"/>
        <v>0</v>
      </c>
      <c r="M32" s="49"/>
      <c r="N32" s="49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6"/>
      <c r="B33" s="3"/>
      <c r="C33" s="3"/>
      <c r="D33" s="3"/>
      <c r="E33" s="3"/>
      <c r="F33" s="3"/>
      <c r="G33" s="92"/>
      <c r="H33" s="9" t="s">
        <v>11</v>
      </c>
      <c r="J33" s="40" t="s">
        <v>86</v>
      </c>
      <c r="K33" s="58" t="s">
        <v>75</v>
      </c>
      <c r="L33" s="49">
        <f t="shared" si="3"/>
        <v>0</v>
      </c>
      <c r="M33" s="49"/>
      <c r="N33" s="49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8" t="s">
        <v>24</v>
      </c>
      <c r="B34" s="3"/>
      <c r="C34" s="3"/>
      <c r="D34" s="3"/>
      <c r="E34" s="3"/>
      <c r="F34" s="14" t="s">
        <v>23</v>
      </c>
      <c r="G34" s="92">
        <f>SUM($G28:$G33)</f>
        <v>87700</v>
      </c>
      <c r="H34" s="10">
        <f>SUM($G28:$G33)</f>
        <v>87700</v>
      </c>
      <c r="J34" s="40" t="s">
        <v>87</v>
      </c>
      <c r="K34" s="58" t="s">
        <v>76</v>
      </c>
      <c r="L34" s="49">
        <f t="shared" si="3"/>
        <v>0</v>
      </c>
      <c r="M34" s="49"/>
      <c r="N34" s="49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6"/>
      <c r="B35" s="4" t="s">
        <v>27</v>
      </c>
      <c r="C35" s="3"/>
      <c r="D35" s="3"/>
      <c r="E35" s="3"/>
      <c r="F35" s="5"/>
      <c r="J35" s="40" t="s">
        <v>88</v>
      </c>
      <c r="K35" s="58" t="s">
        <v>77</v>
      </c>
      <c r="L35" s="49">
        <f t="shared" si="3"/>
        <v>0</v>
      </c>
      <c r="M35" s="49"/>
      <c r="N35" s="49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6"/>
      <c r="B36" s="4" t="s">
        <v>28</v>
      </c>
      <c r="C36" s="3"/>
      <c r="D36" s="3"/>
      <c r="E36" s="3"/>
      <c r="F36" s="5"/>
      <c r="G36" s="10">
        <f>L33</f>
        <v>0</v>
      </c>
      <c r="J36" s="40" t="s">
        <v>89</v>
      </c>
      <c r="K36" s="58" t="s">
        <v>78</v>
      </c>
      <c r="L36" s="49">
        <f t="shared" si="3"/>
        <v>0</v>
      </c>
      <c r="M36" s="49"/>
      <c r="N36" s="49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6"/>
      <c r="B37" s="4" t="s">
        <v>56</v>
      </c>
      <c r="C37" s="3"/>
      <c r="D37" s="3"/>
      <c r="E37" s="3"/>
      <c r="F37" s="5"/>
      <c r="G37" s="10">
        <f>L34</f>
        <v>0</v>
      </c>
      <c r="J37" s="40" t="s">
        <v>90</v>
      </c>
      <c r="K37" s="30" t="s">
        <v>190</v>
      </c>
      <c r="L37" s="49">
        <f t="shared" si="3"/>
        <v>0</v>
      </c>
      <c r="M37" s="49"/>
      <c r="N37" s="49"/>
      <c r="O37" s="32"/>
      <c r="Q37" s="30"/>
      <c r="R37" s="30"/>
      <c r="S37" s="30"/>
      <c r="T37" s="30"/>
      <c r="U37" s="30"/>
      <c r="V37" s="30"/>
    </row>
    <row r="38" spans="1:22" x14ac:dyDescent="0.2">
      <c r="A38" s="6"/>
      <c r="B38" s="4" t="s">
        <v>34</v>
      </c>
      <c r="C38" s="3"/>
      <c r="D38" s="3"/>
      <c r="E38" s="3"/>
      <c r="F38" s="5"/>
      <c r="G38" s="10">
        <f>L35</f>
        <v>0</v>
      </c>
      <c r="J38" s="40" t="s">
        <v>91</v>
      </c>
      <c r="K38" s="30" t="s">
        <v>92</v>
      </c>
      <c r="L38" s="49">
        <f t="shared" si="3"/>
        <v>0</v>
      </c>
      <c r="M38" s="49"/>
      <c r="N38" s="49"/>
      <c r="O38" s="32"/>
    </row>
    <row r="39" spans="1:22" x14ac:dyDescent="0.2">
      <c r="A39" s="6"/>
      <c r="B39" s="3"/>
      <c r="C39" s="3"/>
      <c r="D39" s="3"/>
      <c r="E39" s="3"/>
      <c r="F39" s="5"/>
      <c r="G39" s="10">
        <f>L36</f>
        <v>0</v>
      </c>
      <c r="H39" s="9" t="s">
        <v>15</v>
      </c>
      <c r="J39" s="40" t="s">
        <v>93</v>
      </c>
      <c r="K39" s="30" t="s">
        <v>94</v>
      </c>
      <c r="L39" s="49">
        <f>12800+5550+8700</f>
        <v>27050</v>
      </c>
      <c r="M39" s="49" t="s">
        <v>262</v>
      </c>
      <c r="N39" s="49"/>
      <c r="O39" s="32"/>
    </row>
    <row r="40" spans="1:22" x14ac:dyDescent="0.2">
      <c r="A40" s="8" t="s">
        <v>32</v>
      </c>
      <c r="B40" s="3"/>
      <c r="C40" s="3"/>
      <c r="D40" s="3"/>
      <c r="E40" s="3"/>
      <c r="F40" s="14" t="s">
        <v>31</v>
      </c>
      <c r="G40" s="10">
        <f>SUM($G36:$G39)</f>
        <v>0</v>
      </c>
      <c r="H40" s="10">
        <f>SUM($G36:$G39)</f>
        <v>0</v>
      </c>
      <c r="J40" s="40" t="s">
        <v>98</v>
      </c>
      <c r="K40" s="30" t="s">
        <v>160</v>
      </c>
      <c r="L40" s="49">
        <f t="shared" si="3"/>
        <v>0</v>
      </c>
      <c r="M40" s="49"/>
      <c r="N40" s="49"/>
      <c r="O40" s="32"/>
    </row>
    <row r="41" spans="1:22" x14ac:dyDescent="0.2">
      <c r="A41" s="6"/>
      <c r="B41" s="4" t="str">
        <f>+K37</f>
        <v>Flores</v>
      </c>
      <c r="C41" s="3"/>
      <c r="D41" s="3"/>
      <c r="E41" s="3"/>
      <c r="F41" s="5"/>
      <c r="J41" s="40" t="s">
        <v>99</v>
      </c>
      <c r="K41" s="30" t="s">
        <v>96</v>
      </c>
      <c r="L41" s="49">
        <f t="shared" si="3"/>
        <v>0</v>
      </c>
      <c r="M41" s="49"/>
      <c r="N41" s="49"/>
      <c r="O41" s="32"/>
    </row>
    <row r="42" spans="1:22" x14ac:dyDescent="0.2">
      <c r="A42" s="6"/>
      <c r="B42" s="4" t="s">
        <v>35</v>
      </c>
      <c r="C42" s="3"/>
      <c r="D42" s="3"/>
      <c r="E42" s="3"/>
      <c r="F42" s="5"/>
      <c r="G42" s="10"/>
      <c r="J42" s="40" t="s">
        <v>100</v>
      </c>
      <c r="K42" s="30" t="s">
        <v>97</v>
      </c>
      <c r="L42" s="49">
        <f t="shared" si="3"/>
        <v>0</v>
      </c>
      <c r="M42" s="49"/>
      <c r="N42" s="49"/>
      <c r="O42" s="32"/>
    </row>
    <row r="43" spans="1:22" x14ac:dyDescent="0.2">
      <c r="A43" s="6"/>
      <c r="B43" s="4" t="s">
        <v>29</v>
      </c>
      <c r="C43" s="3"/>
      <c r="D43" s="3"/>
      <c r="E43" s="3"/>
      <c r="F43" s="5"/>
      <c r="G43" s="10">
        <f>8700+5550+12800</f>
        <v>27050</v>
      </c>
      <c r="J43" s="40" t="s">
        <v>111</v>
      </c>
      <c r="K43" s="30" t="s">
        <v>65</v>
      </c>
      <c r="L43" s="49">
        <f t="shared" si="3"/>
        <v>0</v>
      </c>
      <c r="M43" s="49"/>
      <c r="N43" s="49"/>
      <c r="O43" s="32"/>
    </row>
    <row r="44" spans="1:22" x14ac:dyDescent="0.2">
      <c r="A44" s="6"/>
      <c r="B44" s="4" t="s">
        <v>36</v>
      </c>
      <c r="C44" s="3"/>
      <c r="D44" s="3"/>
      <c r="E44" s="3"/>
      <c r="F44" s="5"/>
      <c r="G44" s="10">
        <v>0</v>
      </c>
      <c r="J44" s="40" t="s">
        <v>109</v>
      </c>
      <c r="K44" s="30" t="s">
        <v>141</v>
      </c>
      <c r="L44" s="49">
        <f t="shared" si="3"/>
        <v>0</v>
      </c>
      <c r="M44" s="49"/>
      <c r="N44" s="49"/>
      <c r="O44" s="32"/>
    </row>
    <row r="45" spans="1:22" x14ac:dyDescent="0.2">
      <c r="A45" s="6"/>
      <c r="B45" s="4" t="s">
        <v>37</v>
      </c>
      <c r="C45" s="3"/>
      <c r="D45" s="3"/>
      <c r="E45" s="3"/>
      <c r="F45" s="5"/>
      <c r="G45" s="10">
        <f t="shared" ref="G45:G50" si="4">L40</f>
        <v>0</v>
      </c>
      <c r="J45" s="40" t="s">
        <v>110</v>
      </c>
      <c r="K45" s="30" t="s">
        <v>65</v>
      </c>
      <c r="L45" s="49">
        <f t="shared" si="3"/>
        <v>0</v>
      </c>
      <c r="M45" s="49"/>
      <c r="N45" s="49"/>
      <c r="O45" s="32"/>
    </row>
    <row r="46" spans="1:22" x14ac:dyDescent="0.2">
      <c r="A46" s="6"/>
      <c r="B46" s="4" t="s">
        <v>38</v>
      </c>
      <c r="C46" s="3"/>
      <c r="D46" s="3"/>
      <c r="E46" s="3"/>
      <c r="F46" s="5"/>
      <c r="G46" s="10">
        <f t="shared" si="4"/>
        <v>0</v>
      </c>
      <c r="J46" s="40" t="s">
        <v>112</v>
      </c>
      <c r="K46" s="30" t="s">
        <v>116</v>
      </c>
      <c r="L46" s="49">
        <f t="shared" si="3"/>
        <v>0</v>
      </c>
      <c r="M46" s="49"/>
      <c r="N46" s="49"/>
    </row>
    <row r="47" spans="1:22" x14ac:dyDescent="0.2">
      <c r="A47" s="6"/>
      <c r="B47" s="4" t="s">
        <v>228</v>
      </c>
      <c r="C47" s="3"/>
      <c r="D47" s="3"/>
      <c r="E47" s="3"/>
      <c r="F47" s="5"/>
      <c r="G47" s="10">
        <f t="shared" si="4"/>
        <v>0</v>
      </c>
      <c r="J47" s="40" t="s">
        <v>113</v>
      </c>
      <c r="K47" s="30" t="s">
        <v>117</v>
      </c>
      <c r="L47" s="49">
        <f t="shared" si="3"/>
        <v>0</v>
      </c>
      <c r="M47" s="49"/>
      <c r="N47" s="49"/>
    </row>
    <row r="48" spans="1:22" x14ac:dyDescent="0.2">
      <c r="A48" s="8" t="s">
        <v>30</v>
      </c>
      <c r="B48" s="3" t="s">
        <v>248</v>
      </c>
      <c r="C48" s="3"/>
      <c r="D48" s="3"/>
      <c r="E48" s="3"/>
      <c r="F48" s="5"/>
      <c r="G48" s="10">
        <v>0</v>
      </c>
      <c r="J48" s="40" t="s">
        <v>114</v>
      </c>
      <c r="K48" s="30" t="s">
        <v>118</v>
      </c>
      <c r="L48" s="49">
        <f t="shared" si="3"/>
        <v>0</v>
      </c>
      <c r="M48" s="49"/>
      <c r="N48" s="49"/>
      <c r="O48" s="32"/>
    </row>
    <row r="49" spans="1:15" x14ac:dyDescent="0.2">
      <c r="A49" s="8" t="s">
        <v>0</v>
      </c>
      <c r="B49" s="3" t="s">
        <v>39</v>
      </c>
      <c r="C49" s="3"/>
      <c r="D49" s="3"/>
      <c r="E49" s="3"/>
      <c r="F49" s="5"/>
      <c r="G49" s="10">
        <f t="shared" si="4"/>
        <v>0</v>
      </c>
      <c r="J49" s="40" t="s">
        <v>115</v>
      </c>
      <c r="K49" s="30" t="s">
        <v>118</v>
      </c>
      <c r="L49" s="49">
        <f t="shared" si="3"/>
        <v>0</v>
      </c>
      <c r="M49" s="49"/>
      <c r="N49" s="49"/>
      <c r="O49" s="32"/>
    </row>
    <row r="50" spans="1:15" x14ac:dyDescent="0.2">
      <c r="A50" s="6"/>
      <c r="B50" s="3"/>
      <c r="C50" s="3"/>
      <c r="D50" s="3"/>
      <c r="E50" s="3"/>
      <c r="F50" s="5"/>
      <c r="G50" s="10">
        <f t="shared" si="4"/>
        <v>0</v>
      </c>
      <c r="H50" s="9" t="s">
        <v>18</v>
      </c>
      <c r="K50" s="53" t="s">
        <v>124</v>
      </c>
      <c r="L50" s="54">
        <f>SUM(L27:L32)</f>
        <v>0</v>
      </c>
      <c r="M50" s="54"/>
      <c r="N50" s="54"/>
    </row>
    <row r="51" spans="1:15" x14ac:dyDescent="0.2">
      <c r="A51" s="8" t="s">
        <v>41</v>
      </c>
      <c r="B51" s="3"/>
      <c r="C51" s="3"/>
      <c r="D51" s="3"/>
      <c r="E51" s="3"/>
      <c r="F51" s="14" t="s">
        <v>40</v>
      </c>
      <c r="G51" s="10">
        <f>SUM($G42:$G50)</f>
        <v>27050</v>
      </c>
      <c r="H51" s="10">
        <f>SUM($G42:$G50)</f>
        <v>27050</v>
      </c>
      <c r="K51" s="53" t="s">
        <v>125</v>
      </c>
      <c r="L51" s="54">
        <f>SUM(L33:L36)</f>
        <v>0</v>
      </c>
      <c r="M51" s="54"/>
      <c r="N51" s="54"/>
    </row>
    <row r="52" spans="1:15" x14ac:dyDescent="0.2">
      <c r="A52" s="6"/>
      <c r="B52" s="4" t="s">
        <v>42</v>
      </c>
      <c r="C52" s="3"/>
      <c r="D52" s="3"/>
      <c r="E52" s="3"/>
      <c r="F52" s="5"/>
      <c r="K52" s="53" t="s">
        <v>126</v>
      </c>
      <c r="L52" s="54">
        <f>SUM(L37:L45)</f>
        <v>27050</v>
      </c>
      <c r="M52" s="54"/>
      <c r="N52" s="54"/>
    </row>
    <row r="53" spans="1:15" x14ac:dyDescent="0.2">
      <c r="A53" s="6"/>
      <c r="B53" s="4" t="s">
        <v>58</v>
      </c>
      <c r="C53" s="3"/>
      <c r="D53" s="3"/>
      <c r="E53" s="3"/>
      <c r="F53" s="5"/>
      <c r="G53" s="10">
        <f>(H19*5)/100</f>
        <v>14038.35</v>
      </c>
      <c r="K53" s="53" t="s">
        <v>66</v>
      </c>
      <c r="L53" s="54">
        <f>SUM(L27:L49)</f>
        <v>27050</v>
      </c>
      <c r="M53" s="54"/>
      <c r="N53" s="54"/>
    </row>
    <row r="54" spans="1:15" x14ac:dyDescent="0.2">
      <c r="A54" s="6"/>
      <c r="B54" s="4" t="s">
        <v>43</v>
      </c>
      <c r="C54" s="3"/>
      <c r="D54" s="3"/>
      <c r="E54" s="3"/>
      <c r="F54" s="5"/>
      <c r="G54" s="10">
        <f>(H19*5)/100</f>
        <v>14038.35</v>
      </c>
    </row>
    <row r="55" spans="1:15" x14ac:dyDescent="0.2">
      <c r="A55" s="6"/>
      <c r="B55" s="4" t="s">
        <v>57</v>
      </c>
      <c r="C55" s="3"/>
      <c r="D55" s="3"/>
      <c r="E55" s="3"/>
      <c r="F55" s="5"/>
      <c r="G55" s="10">
        <f>L48</f>
        <v>0</v>
      </c>
    </row>
    <row r="56" spans="1:15" x14ac:dyDescent="0.2">
      <c r="A56" s="6"/>
      <c r="B56" s="3" t="s">
        <v>263</v>
      </c>
      <c r="C56" s="3"/>
      <c r="D56" s="3"/>
      <c r="E56" s="3"/>
      <c r="F56" s="5"/>
      <c r="G56" s="10">
        <v>50000</v>
      </c>
      <c r="H56" s="9" t="s">
        <v>45</v>
      </c>
    </row>
    <row r="57" spans="1:15" ht="13.5" thickBot="1" x14ac:dyDescent="0.25">
      <c r="A57" s="6"/>
      <c r="B57" s="3"/>
      <c r="C57" s="3"/>
      <c r="D57" s="3"/>
      <c r="E57" s="3"/>
      <c r="F57" s="14" t="s">
        <v>59</v>
      </c>
      <c r="G57" s="10">
        <f>SUM($G53:$G56)</f>
        <v>78076.7</v>
      </c>
      <c r="H57" s="10">
        <f>SUM($G53:$G56)</f>
        <v>78076.7</v>
      </c>
      <c r="K57" s="76"/>
      <c r="L57" s="77"/>
      <c r="M57" s="77"/>
      <c r="N57" s="77"/>
    </row>
    <row r="58" spans="1:15" ht="16.5" thickTop="1" thickBot="1" x14ac:dyDescent="0.3">
      <c r="A58" s="4"/>
      <c r="B58" s="3"/>
      <c r="C58" s="3"/>
      <c r="D58" s="3"/>
      <c r="E58" s="3"/>
      <c r="F58" s="3"/>
      <c r="G58" s="15" t="s">
        <v>44</v>
      </c>
      <c r="H58" s="16">
        <f>H34+H40+H51+H57</f>
        <v>192826.7</v>
      </c>
    </row>
    <row r="59" spans="1:15" ht="15" customHeight="1" thickTop="1" thickBot="1" x14ac:dyDescent="0.25">
      <c r="C59" s="7"/>
      <c r="D59" s="7"/>
      <c r="E59" s="7"/>
      <c r="F59" s="7"/>
    </row>
    <row r="60" spans="1:15" ht="15" customHeight="1" thickTop="1" x14ac:dyDescent="0.2">
      <c r="A60" s="20" t="s">
        <v>46</v>
      </c>
      <c r="B60" s="21"/>
      <c r="C60" s="21"/>
      <c r="D60" s="21"/>
      <c r="E60" s="21"/>
      <c r="F60" s="21"/>
      <c r="G60" s="22" t="s">
        <v>48</v>
      </c>
      <c r="H60" s="19">
        <f>H24-H58</f>
        <v>87940.299999999988</v>
      </c>
    </row>
    <row r="61" spans="1:15" ht="15" customHeight="1" x14ac:dyDescent="0.2">
      <c r="A61" s="25" t="s">
        <v>4</v>
      </c>
      <c r="B61" s="26"/>
      <c r="C61" s="3"/>
      <c r="D61" s="3"/>
      <c r="E61" s="3"/>
      <c r="F61" s="3"/>
      <c r="G61" s="5"/>
      <c r="H61" s="10">
        <f>'JUL22'!H61</f>
        <v>208642.3250000003</v>
      </c>
    </row>
    <row r="62" spans="1:15" ht="13.5" thickBot="1" x14ac:dyDescent="0.25">
      <c r="A62" s="20" t="s">
        <v>47</v>
      </c>
      <c r="B62" s="21"/>
      <c r="C62" s="21"/>
      <c r="D62" s="21"/>
      <c r="E62" s="21"/>
      <c r="F62" s="21"/>
      <c r="G62" s="24"/>
      <c r="H62" s="23">
        <f>H60+H61</f>
        <v>296582.62500000029</v>
      </c>
    </row>
    <row r="63" spans="1:15" ht="13.5" thickTop="1" x14ac:dyDescent="0.2"/>
  </sheetData>
  <mergeCells count="2">
    <mergeCell ref="A1:H1"/>
    <mergeCell ref="A7:H7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62"/>
  <sheetViews>
    <sheetView topLeftCell="A46" zoomScaleNormal="10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9.7109375" customWidth="1"/>
    <col min="8" max="8" width="13.425781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6" bestFit="1" customWidth="1"/>
    <col min="13" max="13" width="13.7109375" bestFit="1" customWidth="1"/>
  </cols>
  <sheetData>
    <row r="1" spans="1:24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4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4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82">
        <v>2022</v>
      </c>
    </row>
    <row r="4" spans="1:24" ht="10.5" customHeight="1" thickBot="1" x14ac:dyDescent="0.25">
      <c r="A4" s="1"/>
    </row>
    <row r="5" spans="1:24" ht="21.75" thickTop="1" thickBot="1" x14ac:dyDescent="0.35">
      <c r="C5" s="18" t="s">
        <v>2</v>
      </c>
      <c r="F5" s="42" t="s">
        <v>139</v>
      </c>
      <c r="G5" s="43"/>
    </row>
    <row r="6" spans="1:24" ht="10.5" customHeight="1" thickTop="1" x14ac:dyDescent="0.2">
      <c r="A6" s="1"/>
      <c r="M6" s="39"/>
      <c r="N6" s="84"/>
      <c r="O6" s="39" t="s">
        <v>68</v>
      </c>
      <c r="P6" s="39"/>
      <c r="Q6" s="39" t="s">
        <v>67</v>
      </c>
      <c r="R6" s="39" t="s">
        <v>68</v>
      </c>
      <c r="S6" s="39" t="s">
        <v>67</v>
      </c>
      <c r="T6" s="39" t="s">
        <v>68</v>
      </c>
      <c r="U6" s="39" t="s">
        <v>67</v>
      </c>
      <c r="V6" s="39" t="s">
        <v>68</v>
      </c>
      <c r="W6" s="39"/>
      <c r="X6" s="59"/>
    </row>
    <row r="7" spans="1:24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1</v>
      </c>
      <c r="N7" s="48">
        <v>3</v>
      </c>
      <c r="O7" s="48">
        <v>4</v>
      </c>
      <c r="P7" s="48">
        <v>6</v>
      </c>
      <c r="Q7" s="48">
        <v>10</v>
      </c>
      <c r="R7" s="48">
        <v>11</v>
      </c>
      <c r="S7" s="48">
        <f>+Q7+7</f>
        <v>17</v>
      </c>
      <c r="T7" s="48">
        <v>18</v>
      </c>
      <c r="U7" s="48">
        <v>24</v>
      </c>
      <c r="V7" s="48">
        <v>25</v>
      </c>
      <c r="W7" s="48"/>
      <c r="X7" s="48"/>
    </row>
    <row r="8" spans="1:24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83500</v>
      </c>
    </row>
    <row r="9" spans="1:24" x14ac:dyDescent="0.2">
      <c r="A9" s="8" t="s">
        <v>7</v>
      </c>
      <c r="B9" s="3"/>
      <c r="C9" s="3"/>
      <c r="D9" s="3"/>
      <c r="E9" s="3"/>
      <c r="F9" s="5"/>
      <c r="G9" s="10">
        <f>L8</f>
        <v>83500</v>
      </c>
      <c r="J9" s="40" t="s">
        <v>80</v>
      </c>
      <c r="K9" s="30" t="s">
        <v>102</v>
      </c>
      <c r="L9" s="49">
        <f t="shared" ref="L9:L16" si="0">SUM(M9:AR9)</f>
        <v>176483</v>
      </c>
      <c r="M9">
        <v>5000</v>
      </c>
      <c r="N9">
        <v>6180</v>
      </c>
      <c r="O9">
        <f>6075+12740+10100</f>
        <v>28915</v>
      </c>
      <c r="P9">
        <v>19000</v>
      </c>
      <c r="Q9">
        <v>6210</v>
      </c>
      <c r="R9">
        <f>8725+11700+12440</f>
        <v>32865</v>
      </c>
      <c r="S9">
        <v>5830</v>
      </c>
      <c r="T9">
        <f>9836+13760+9300</f>
        <v>32896</v>
      </c>
      <c r="U9">
        <v>8660</v>
      </c>
      <c r="V9">
        <f>9408+8260+13259</f>
        <v>30927</v>
      </c>
    </row>
    <row r="10" spans="1:24" x14ac:dyDescent="0.2">
      <c r="A10" s="8" t="s">
        <v>8</v>
      </c>
      <c r="B10" s="3"/>
      <c r="C10" s="3"/>
      <c r="D10" s="3"/>
      <c r="E10" s="3"/>
      <c r="F10" s="5"/>
      <c r="G10" s="10">
        <f t="shared" ref="G10:G17" si="1">L9</f>
        <v>176483</v>
      </c>
      <c r="J10" s="40" t="s">
        <v>81</v>
      </c>
      <c r="K10" s="30" t="s">
        <v>154</v>
      </c>
      <c r="L10" s="49">
        <f t="shared" si="0"/>
        <v>31000</v>
      </c>
      <c r="M10">
        <v>1000</v>
      </c>
      <c r="R10">
        <v>3000</v>
      </c>
      <c r="V10">
        <v>27000</v>
      </c>
    </row>
    <row r="11" spans="1:24" x14ac:dyDescent="0.2">
      <c r="A11" s="8" t="s">
        <v>9</v>
      </c>
      <c r="B11" s="3"/>
      <c r="C11" s="3"/>
      <c r="D11" s="3"/>
      <c r="E11" s="3"/>
      <c r="F11" s="5"/>
      <c r="G11" s="10">
        <f t="shared" si="1"/>
        <v>31000</v>
      </c>
      <c r="J11" s="40" t="s">
        <v>107</v>
      </c>
      <c r="K11" s="30" t="s">
        <v>105</v>
      </c>
      <c r="L11" s="49">
        <f t="shared" si="0"/>
        <v>15640</v>
      </c>
      <c r="N11">
        <v>1640</v>
      </c>
      <c r="S11">
        <v>7000</v>
      </c>
      <c r="U11">
        <v>7000</v>
      </c>
    </row>
    <row r="12" spans="1:24" x14ac:dyDescent="0.2">
      <c r="A12" s="8" t="s">
        <v>10</v>
      </c>
      <c r="B12" s="3"/>
      <c r="C12" s="3"/>
      <c r="D12" s="3"/>
      <c r="E12" s="3"/>
      <c r="F12" s="5"/>
      <c r="G12" s="10">
        <f t="shared" si="1"/>
        <v>15640</v>
      </c>
      <c r="J12" s="40" t="s">
        <v>108</v>
      </c>
      <c r="K12" s="30" t="s">
        <v>104</v>
      </c>
      <c r="L12" s="49">
        <f t="shared" si="0"/>
        <v>0</v>
      </c>
      <c r="M12">
        <v>0</v>
      </c>
    </row>
    <row r="13" spans="1:24" x14ac:dyDescent="0.2">
      <c r="A13" s="8" t="s">
        <v>71</v>
      </c>
      <c r="B13" s="3"/>
      <c r="C13" s="3"/>
      <c r="D13" s="3"/>
      <c r="E13" s="3"/>
      <c r="F13" s="5"/>
      <c r="G13" s="10">
        <f t="shared" si="1"/>
        <v>0</v>
      </c>
      <c r="H13" s="9"/>
      <c r="J13" s="40" t="s">
        <v>119</v>
      </c>
      <c r="K13" s="30" t="s">
        <v>156</v>
      </c>
      <c r="L13" s="49">
        <f t="shared" si="0"/>
        <v>0</v>
      </c>
    </row>
    <row r="14" spans="1:24" x14ac:dyDescent="0.2">
      <c r="A14" s="62" t="s">
        <v>155</v>
      </c>
      <c r="B14" s="3"/>
      <c r="C14" s="3"/>
      <c r="D14" s="3"/>
      <c r="E14" s="3"/>
      <c r="F14" s="5"/>
      <c r="G14" s="10">
        <f t="shared" si="1"/>
        <v>0</v>
      </c>
      <c r="J14" s="40" t="s">
        <v>120</v>
      </c>
      <c r="K14" s="30" t="s">
        <v>122</v>
      </c>
      <c r="L14" s="49">
        <f t="shared" si="0"/>
        <v>0</v>
      </c>
    </row>
    <row r="15" spans="1:24" x14ac:dyDescent="0.2">
      <c r="A15" s="8" t="s">
        <v>159</v>
      </c>
      <c r="B15" s="3"/>
      <c r="C15" s="3"/>
      <c r="D15" s="3"/>
      <c r="E15" s="3"/>
      <c r="F15" s="5"/>
      <c r="G15" s="10">
        <f>M23</f>
        <v>0</v>
      </c>
      <c r="J15" s="40" t="s">
        <v>121</v>
      </c>
      <c r="K15" s="30" t="s">
        <v>123</v>
      </c>
      <c r="L15" s="49">
        <f t="shared" si="0"/>
        <v>0</v>
      </c>
    </row>
    <row r="16" spans="1:24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85</v>
      </c>
      <c r="K16" s="30" t="s">
        <v>106</v>
      </c>
      <c r="L16" s="49">
        <f t="shared" si="0"/>
        <v>0</v>
      </c>
    </row>
    <row r="17" spans="1:23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 t="s">
        <v>11</v>
      </c>
      <c r="K17" s="50" t="s">
        <v>124</v>
      </c>
      <c r="L17" s="51">
        <f>SUM(L8+L9+L10+L11+L12+L14,L15,L16)</f>
        <v>306623</v>
      </c>
    </row>
    <row r="18" spans="1:23" x14ac:dyDescent="0.2">
      <c r="A18" s="11"/>
      <c r="B18" s="12"/>
      <c r="C18" s="12"/>
      <c r="D18" s="12"/>
      <c r="F18" s="13" t="s">
        <v>53</v>
      </c>
      <c r="G18" s="10">
        <f>SUM(G9:G17)-G14-G15</f>
        <v>306623</v>
      </c>
      <c r="H18" s="10">
        <f>SUM(G9:G17)-G14-G15</f>
        <v>306623</v>
      </c>
      <c r="J18" s="40" t="s">
        <v>86</v>
      </c>
      <c r="K18" s="30" t="s">
        <v>264</v>
      </c>
      <c r="L18" s="49">
        <f>SUM(M18:AR18)</f>
        <v>78920</v>
      </c>
      <c r="Q18">
        <v>9000</v>
      </c>
      <c r="R18">
        <f>2040+5500+16500</f>
        <v>24040</v>
      </c>
      <c r="S18">
        <v>2040</v>
      </c>
      <c r="T18">
        <f>9800+15240+10300</f>
        <v>35340</v>
      </c>
      <c r="U18">
        <v>2000</v>
      </c>
      <c r="V18">
        <f>3500+1000+2000</f>
        <v>6500</v>
      </c>
    </row>
    <row r="19" spans="1:23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>SUM(M19:AR19)</f>
        <v>0</v>
      </c>
    </row>
    <row r="20" spans="1:23" x14ac:dyDescent="0.2">
      <c r="A20" s="8" t="s">
        <v>230</v>
      </c>
      <c r="B20" s="3"/>
      <c r="C20" s="3"/>
      <c r="D20" s="3"/>
      <c r="E20" s="3"/>
      <c r="F20" s="3"/>
      <c r="G20" s="10">
        <f>L18</f>
        <v>78920</v>
      </c>
      <c r="K20" s="50" t="s">
        <v>128</v>
      </c>
      <c r="L20" s="51">
        <f>SUM(L18:L19)</f>
        <v>78920</v>
      </c>
    </row>
    <row r="21" spans="1:23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50" t="s">
        <v>66</v>
      </c>
      <c r="L21" s="51">
        <f>SUM(L17,L20)</f>
        <v>385543</v>
      </c>
      <c r="N21" s="41"/>
    </row>
    <row r="22" spans="1:23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78920</v>
      </c>
      <c r="H22" s="10">
        <f>G22</f>
        <v>78920</v>
      </c>
    </row>
    <row r="23" spans="1:23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385543</v>
      </c>
      <c r="M23" s="41"/>
    </row>
    <row r="24" spans="1:23" ht="10.5" customHeight="1" thickTop="1" x14ac:dyDescent="0.2">
      <c r="A24" s="1"/>
    </row>
    <row r="25" spans="1:23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3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/>
      <c r="O26" s="48">
        <v>8</v>
      </c>
      <c r="P26" s="48"/>
      <c r="Q26" s="48">
        <v>14</v>
      </c>
      <c r="R26" s="48">
        <v>15</v>
      </c>
      <c r="S26" s="48">
        <v>21</v>
      </c>
      <c r="T26" s="48">
        <v>22</v>
      </c>
      <c r="U26" s="48">
        <v>28</v>
      </c>
      <c r="V26" s="48">
        <v>29</v>
      </c>
      <c r="W26" s="48"/>
    </row>
    <row r="27" spans="1:23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f>SUM(M27:AR27)</f>
        <v>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>SUM(M28:AR28)</f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x14ac:dyDescent="0.2">
      <c r="A29" s="6"/>
      <c r="B29" s="4" t="s">
        <v>161</v>
      </c>
      <c r="C29" s="3"/>
      <c r="D29" s="3"/>
      <c r="E29" s="3"/>
      <c r="F29" s="3"/>
      <c r="G29" s="10">
        <f>+'AGO22'!G29</f>
        <v>15000</v>
      </c>
      <c r="J29" s="40" t="s">
        <v>81</v>
      </c>
      <c r="K29" s="30" t="s">
        <v>158</v>
      </c>
      <c r="L29" s="49"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2">
      <c r="A30" s="6"/>
      <c r="B30" s="4" t="s">
        <v>193</v>
      </c>
      <c r="C30" s="3"/>
      <c r="D30" s="3"/>
      <c r="E30" s="3"/>
      <c r="F30" s="3"/>
      <c r="G30" s="10">
        <v>0</v>
      </c>
      <c r="J30" s="40" t="s">
        <v>82</v>
      </c>
      <c r="K30" t="s">
        <v>192</v>
      </c>
      <c r="L30" s="49"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x14ac:dyDescent="0.2">
      <c r="A31" s="6"/>
      <c r="B31" s="4" t="s">
        <v>22</v>
      </c>
      <c r="C31" s="3"/>
      <c r="D31" s="3"/>
      <c r="E31" s="3"/>
      <c r="F31" s="3"/>
      <c r="G31" s="10">
        <f>+L31</f>
        <v>55000</v>
      </c>
      <c r="J31" s="40" t="s">
        <v>84</v>
      </c>
      <c r="K31" t="s">
        <v>73</v>
      </c>
      <c r="L31" s="49">
        <f>25000+30000</f>
        <v>55000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2">
      <c r="A32" s="6"/>
      <c r="B32" s="4" t="s">
        <v>55</v>
      </c>
      <c r="C32" s="3"/>
      <c r="D32" s="3"/>
      <c r="E32" s="3"/>
      <c r="F32" s="3"/>
      <c r="G32" s="10">
        <f>+'AGO22'!G32</f>
        <v>20700</v>
      </c>
      <c r="H32" s="9" t="s">
        <v>11</v>
      </c>
      <c r="J32" s="40" t="s">
        <v>85</v>
      </c>
      <c r="K32" t="s">
        <v>74</v>
      </c>
      <c r="L32" s="49">
        <f>SUM(M32:AR32)</f>
        <v>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x14ac:dyDescent="0.2">
      <c r="A33" s="6"/>
      <c r="B33" s="3"/>
      <c r="C33" s="3"/>
      <c r="D33" s="3"/>
      <c r="E33" s="3"/>
      <c r="F33" s="14" t="s">
        <v>23</v>
      </c>
      <c r="G33" s="10">
        <f>SUM($G27:$G32)</f>
        <v>120700</v>
      </c>
      <c r="H33" s="10">
        <f>SUM($G27:$G32)</f>
        <v>120700</v>
      </c>
      <c r="J33" s="40" t="s">
        <v>86</v>
      </c>
      <c r="K33" s="58" t="s">
        <v>75</v>
      </c>
      <c r="L33" s="49">
        <f>SUM(M33:AR33)</f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>SUM(M34:AR34)</f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>SUM(M35:AR35)</f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>SUM(M36:AR36)</f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190</v>
      </c>
      <c r="L37" s="49">
        <v>0</v>
      </c>
      <c r="M37" s="32">
        <v>1200</v>
      </c>
      <c r="N37" s="30"/>
      <c r="O37" s="30"/>
      <c r="P37" s="30"/>
      <c r="Q37" s="30">
        <v>1200</v>
      </c>
      <c r="R37" s="30"/>
      <c r="S37" s="30">
        <v>1800</v>
      </c>
      <c r="T37" s="30"/>
      <c r="U37" s="30">
        <v>1300</v>
      </c>
      <c r="V37" s="30"/>
      <c r="W37" s="30"/>
    </row>
    <row r="38" spans="1:23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v>0</v>
      </c>
      <c r="M38" s="32"/>
    </row>
    <row r="39" spans="1:23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v>0</v>
      </c>
      <c r="M39" s="32"/>
      <c r="S39">
        <v>1426</v>
      </c>
    </row>
    <row r="40" spans="1:23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160</v>
      </c>
      <c r="L40" s="49">
        <f>SUM(M40:AR40)</f>
        <v>0</v>
      </c>
      <c r="M40" s="32"/>
    </row>
    <row r="41" spans="1:23" x14ac:dyDescent="0.2">
      <c r="A41" s="6"/>
      <c r="B41" s="4" t="s">
        <v>191</v>
      </c>
      <c r="C41" s="3"/>
      <c r="D41" s="3"/>
      <c r="E41" s="3"/>
      <c r="F41" s="5"/>
      <c r="G41" s="10">
        <v>0</v>
      </c>
      <c r="J41" s="40" t="s">
        <v>99</v>
      </c>
      <c r="K41" s="30" t="s">
        <v>96</v>
      </c>
      <c r="L41" s="49">
        <v>0</v>
      </c>
      <c r="M41" s="32" t="s">
        <v>195</v>
      </c>
    </row>
    <row r="42" spans="1:23" x14ac:dyDescent="0.2">
      <c r="A42" s="6"/>
      <c r="B42" s="4" t="s">
        <v>35</v>
      </c>
      <c r="C42" s="3"/>
      <c r="D42" s="3"/>
      <c r="E42" s="3"/>
      <c r="F42" s="5"/>
      <c r="G42" s="10">
        <v>0</v>
      </c>
      <c r="J42" s="40" t="s">
        <v>100</v>
      </c>
      <c r="K42" s="30" t="s">
        <v>97</v>
      </c>
      <c r="L42" s="49">
        <v>0</v>
      </c>
      <c r="M42" s="32" t="s">
        <v>194</v>
      </c>
    </row>
    <row r="43" spans="1:23" x14ac:dyDescent="0.2">
      <c r="A43" s="6"/>
      <c r="B43" s="4" t="s">
        <v>29</v>
      </c>
      <c r="C43" s="3"/>
      <c r="D43" s="3"/>
      <c r="E43" s="3"/>
      <c r="F43" s="5"/>
      <c r="G43" s="10">
        <v>0</v>
      </c>
      <c r="J43" s="40" t="s">
        <v>111</v>
      </c>
      <c r="K43" s="30" t="s">
        <v>65</v>
      </c>
      <c r="L43" s="49">
        <f t="shared" ref="L43:L49" si="2">SUM(M43:AR43)</f>
        <v>0</v>
      </c>
      <c r="M43" s="32"/>
    </row>
    <row r="44" spans="1:23" x14ac:dyDescent="0.2">
      <c r="A44" s="6"/>
      <c r="B44" s="4" t="s">
        <v>36</v>
      </c>
      <c r="C44" s="3"/>
      <c r="D44" s="3"/>
      <c r="E44" s="3"/>
      <c r="F44" s="5"/>
      <c r="G44" s="10">
        <f t="shared" ref="G44:G49" si="3">L40</f>
        <v>0</v>
      </c>
      <c r="J44" s="40" t="s">
        <v>109</v>
      </c>
      <c r="K44" s="30" t="s">
        <v>141</v>
      </c>
      <c r="L44" s="49">
        <f t="shared" si="2"/>
        <v>0</v>
      </c>
      <c r="M44" s="32"/>
    </row>
    <row r="45" spans="1:23" x14ac:dyDescent="0.2">
      <c r="A45" s="6"/>
      <c r="B45" s="4" t="s">
        <v>37</v>
      </c>
      <c r="C45" s="3"/>
      <c r="D45" s="3"/>
      <c r="E45" s="3"/>
      <c r="F45" s="5"/>
      <c r="G45" s="10">
        <v>0</v>
      </c>
      <c r="J45" s="40" t="s">
        <v>110</v>
      </c>
      <c r="K45" s="30" t="s">
        <v>65</v>
      </c>
      <c r="L45" s="49">
        <f t="shared" si="2"/>
        <v>0</v>
      </c>
      <c r="M45" s="32"/>
    </row>
    <row r="46" spans="1:23" x14ac:dyDescent="0.2">
      <c r="A46" s="6"/>
      <c r="B46" s="4" t="s">
        <v>38</v>
      </c>
      <c r="C46" s="3"/>
      <c r="D46" s="3"/>
      <c r="E46" s="3"/>
      <c r="F46" s="5"/>
      <c r="G46" s="10">
        <v>0</v>
      </c>
      <c r="J46" s="40" t="s">
        <v>112</v>
      </c>
      <c r="K46" s="30" t="s">
        <v>116</v>
      </c>
      <c r="L46" s="49">
        <f t="shared" si="2"/>
        <v>0</v>
      </c>
    </row>
    <row r="47" spans="1:23" x14ac:dyDescent="0.2">
      <c r="A47" s="6"/>
      <c r="B47" s="4" t="s">
        <v>265</v>
      </c>
      <c r="C47" s="3"/>
      <c r="D47" s="3"/>
      <c r="E47" s="3"/>
      <c r="F47" s="5"/>
      <c r="G47" s="10">
        <v>40000</v>
      </c>
      <c r="J47" s="40" t="s">
        <v>113</v>
      </c>
      <c r="K47" s="30" t="s">
        <v>117</v>
      </c>
      <c r="L47" s="49">
        <f t="shared" si="2"/>
        <v>0</v>
      </c>
    </row>
    <row r="48" spans="1:23" x14ac:dyDescent="0.2">
      <c r="A48" s="8" t="s">
        <v>30</v>
      </c>
      <c r="B48" s="3" t="s">
        <v>39</v>
      </c>
      <c r="C48" s="3" t="s">
        <v>229</v>
      </c>
      <c r="D48" s="3"/>
      <c r="E48" s="3"/>
      <c r="F48" s="5"/>
      <c r="G48" s="10">
        <v>0</v>
      </c>
      <c r="J48" s="40" t="s">
        <v>114</v>
      </c>
      <c r="K48" s="30" t="s">
        <v>118</v>
      </c>
      <c r="L48" s="49">
        <f t="shared" si="2"/>
        <v>0</v>
      </c>
      <c r="M48" s="32"/>
    </row>
    <row r="49" spans="1:13" x14ac:dyDescent="0.2">
      <c r="A49" s="8" t="s">
        <v>0</v>
      </c>
      <c r="B49" s="3" t="s">
        <v>39</v>
      </c>
      <c r="C49" s="3"/>
      <c r="D49" s="3"/>
      <c r="E49" s="3"/>
      <c r="F49" s="5"/>
      <c r="G49" s="10">
        <f t="shared" si="3"/>
        <v>0</v>
      </c>
      <c r="H49" s="9" t="s">
        <v>18</v>
      </c>
      <c r="J49" s="40" t="s">
        <v>115</v>
      </c>
      <c r="K49" s="30" t="s">
        <v>118</v>
      </c>
      <c r="L49" s="49">
        <f t="shared" si="2"/>
        <v>0</v>
      </c>
      <c r="M49" s="32"/>
    </row>
    <row r="50" spans="1:13" x14ac:dyDescent="0.2">
      <c r="A50" s="6"/>
      <c r="B50" s="3"/>
      <c r="C50" s="3"/>
      <c r="D50" s="3"/>
      <c r="E50" s="3"/>
      <c r="F50" s="14" t="s">
        <v>40</v>
      </c>
      <c r="G50" s="10">
        <f>SUM($G41:$G49)</f>
        <v>40000</v>
      </c>
      <c r="H50" s="10">
        <f>SUM($G41:$G49)</f>
        <v>40000</v>
      </c>
      <c r="K50" s="53" t="s">
        <v>124</v>
      </c>
      <c r="L50" s="54">
        <f>SUM(L27:L32)</f>
        <v>55000</v>
      </c>
    </row>
    <row r="51" spans="1:13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3" x14ac:dyDescent="0.2">
      <c r="A52" s="6"/>
      <c r="B52" s="4" t="s">
        <v>42</v>
      </c>
      <c r="C52" s="3"/>
      <c r="D52" s="3"/>
      <c r="E52" s="3"/>
      <c r="F52" s="5"/>
      <c r="G52" s="10">
        <f>(H18*5)/100</f>
        <v>15331.15</v>
      </c>
      <c r="K52" s="53" t="s">
        <v>126</v>
      </c>
      <c r="L52" s="54">
        <f>SUM(L37:L45)</f>
        <v>0</v>
      </c>
    </row>
    <row r="53" spans="1:13" x14ac:dyDescent="0.2">
      <c r="A53" s="6"/>
      <c r="B53" s="4" t="s">
        <v>58</v>
      </c>
      <c r="C53" s="3"/>
      <c r="D53" s="3"/>
      <c r="E53" s="3"/>
      <c r="F53" s="5"/>
      <c r="G53" s="10">
        <f>(H18*5)/100</f>
        <v>15331.15</v>
      </c>
      <c r="K53" s="53" t="s">
        <v>66</v>
      </c>
      <c r="L53" s="54">
        <f>SUM(L27:L49)</f>
        <v>55000</v>
      </c>
    </row>
    <row r="54" spans="1:13" x14ac:dyDescent="0.2">
      <c r="A54" s="6"/>
      <c r="B54" s="4" t="s">
        <v>231</v>
      </c>
      <c r="C54" s="3"/>
      <c r="D54" s="3"/>
      <c r="E54" s="3"/>
      <c r="F54" s="5"/>
      <c r="G54" s="10">
        <f>+H22</f>
        <v>78920</v>
      </c>
    </row>
    <row r="55" spans="1:13" x14ac:dyDescent="0.2">
      <c r="A55" s="6"/>
      <c r="B55" s="4"/>
      <c r="C55" s="3"/>
      <c r="D55" s="3"/>
      <c r="E55" s="3"/>
      <c r="F55" s="5"/>
      <c r="G55" s="10"/>
      <c r="H55" s="9" t="s">
        <v>45</v>
      </c>
    </row>
    <row r="56" spans="1:13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109582.3</v>
      </c>
      <c r="H56" s="10">
        <f>SUM($G52:$G55)</f>
        <v>109582.3</v>
      </c>
    </row>
    <row r="57" spans="1:13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270282.3</v>
      </c>
      <c r="K57" s="76"/>
      <c r="L57" s="77"/>
    </row>
    <row r="58" spans="1:13" ht="14.25" thickTop="1" thickBot="1" x14ac:dyDescent="0.25">
      <c r="A58" s="17"/>
      <c r="B58" s="7"/>
      <c r="C58" s="7"/>
      <c r="D58" s="7"/>
      <c r="E58" s="7"/>
      <c r="F58" s="7"/>
    </row>
    <row r="59" spans="1:13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115260.70000000001</v>
      </c>
    </row>
    <row r="60" spans="1:13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'AGO22'!H62</f>
        <v>296582.62500000029</v>
      </c>
    </row>
    <row r="61" spans="1:13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411843.3250000003</v>
      </c>
    </row>
    <row r="62" spans="1:13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3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2"/>
  <sheetViews>
    <sheetView topLeftCell="A22" zoomScale="90" zoomScaleNormal="9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3.28515625" customWidth="1"/>
    <col min="8" max="8" width="14" customWidth="1"/>
    <col min="9" max="9" width="77.7109375" customWidth="1"/>
    <col min="10" max="10" width="2.5703125" bestFit="1" customWidth="1"/>
    <col min="11" max="11" width="52.140625" bestFit="1" customWidth="1"/>
    <col min="12" max="12" width="17.42578125" bestFit="1" customWidth="1"/>
    <col min="13" max="13" width="13.140625" bestFit="1" customWidth="1"/>
    <col min="14" max="14" width="13.140625" customWidth="1"/>
    <col min="15" max="15" width="13.42578125" bestFit="1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2022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140</v>
      </c>
      <c r="G5" s="43"/>
    </row>
    <row r="6" spans="1:22" ht="10.5" customHeight="1" thickTop="1" x14ac:dyDescent="0.2">
      <c r="A6" s="1"/>
      <c r="M6" s="39" t="s">
        <v>67</v>
      </c>
      <c r="N6" s="39" t="s">
        <v>213</v>
      </c>
      <c r="O6" s="39" t="s">
        <v>188</v>
      </c>
      <c r="P6" s="39" t="s">
        <v>213</v>
      </c>
      <c r="Q6" s="39" t="s">
        <v>188</v>
      </c>
      <c r="R6" s="39" t="s">
        <v>213</v>
      </c>
      <c r="S6" s="39" t="s">
        <v>67</v>
      </c>
      <c r="T6" s="39" t="s">
        <v>68</v>
      </c>
      <c r="U6" s="39" t="s">
        <v>67</v>
      </c>
      <c r="V6" s="39" t="s">
        <v>68</v>
      </c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1</v>
      </c>
      <c r="N7" s="48">
        <v>2</v>
      </c>
      <c r="O7" s="48">
        <f>+M7+7</f>
        <v>8</v>
      </c>
      <c r="P7" s="48">
        <v>9</v>
      </c>
      <c r="Q7" s="48">
        <f>+O7+7</f>
        <v>15</v>
      </c>
      <c r="R7" s="48">
        <f>+P7+7</f>
        <v>16</v>
      </c>
      <c r="S7" s="48">
        <f t="shared" ref="S7:V7" si="0">+Q7+7</f>
        <v>22</v>
      </c>
      <c r="T7" s="48">
        <f t="shared" si="0"/>
        <v>23</v>
      </c>
      <c r="U7" s="48">
        <f t="shared" si="0"/>
        <v>29</v>
      </c>
      <c r="V7" s="48">
        <f t="shared" si="0"/>
        <v>30</v>
      </c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v>91500</v>
      </c>
    </row>
    <row r="9" spans="1:22" x14ac:dyDescent="0.2">
      <c r="A9" s="8" t="s">
        <v>7</v>
      </c>
      <c r="B9" s="3"/>
      <c r="C9" s="3"/>
      <c r="D9" s="3"/>
      <c r="E9" s="3"/>
      <c r="F9" s="5"/>
      <c r="G9" s="10">
        <f>L8</f>
        <v>91500</v>
      </c>
      <c r="J9" s="40" t="s">
        <v>80</v>
      </c>
      <c r="K9" s="30" t="s">
        <v>102</v>
      </c>
      <c r="L9" s="49">
        <f t="shared" ref="L9:L16" si="1">SUM(M9:AP9)</f>
        <v>218955</v>
      </c>
      <c r="M9">
        <f>9774+2340</f>
        <v>12114</v>
      </c>
      <c r="N9">
        <f>4300+12140+10000</f>
        <v>26440</v>
      </c>
      <c r="O9">
        <v>4710</v>
      </c>
      <c r="P9">
        <f>7975+22210+2000+13640</f>
        <v>45825</v>
      </c>
      <c r="Q9">
        <v>15780</v>
      </c>
      <c r="R9">
        <f>6425+11840+12090</f>
        <v>30355</v>
      </c>
      <c r="S9">
        <v>13030</v>
      </c>
      <c r="T9">
        <f>5307+8970+500+15080</f>
        <v>29857</v>
      </c>
      <c r="U9">
        <v>5300</v>
      </c>
      <c r="V9">
        <f>11979+8820+14745</f>
        <v>35544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 t="shared" ref="G10:G17" si="2">L9</f>
        <v>218955</v>
      </c>
      <c r="J10" s="40" t="s">
        <v>81</v>
      </c>
      <c r="K10" s="30" t="s">
        <v>103</v>
      </c>
      <c r="L10" s="49">
        <f t="shared" si="1"/>
        <v>0</v>
      </c>
    </row>
    <row r="11" spans="1:22" x14ac:dyDescent="0.2">
      <c r="A11" s="8" t="s">
        <v>9</v>
      </c>
      <c r="B11" s="3"/>
      <c r="C11" s="3"/>
      <c r="D11" s="3"/>
      <c r="E11" s="3"/>
      <c r="F11" s="5"/>
      <c r="G11" s="10">
        <f t="shared" si="2"/>
        <v>0</v>
      </c>
      <c r="J11" s="40" t="s">
        <v>107</v>
      </c>
      <c r="K11" s="30" t="s">
        <v>105</v>
      </c>
      <c r="L11" s="49">
        <f t="shared" si="1"/>
        <v>36490</v>
      </c>
      <c r="M11">
        <v>2000</v>
      </c>
      <c r="O11">
        <v>4000</v>
      </c>
      <c r="P11">
        <v>2590</v>
      </c>
      <c r="Q11">
        <f>7000+10000</f>
        <v>17000</v>
      </c>
      <c r="S11">
        <v>6000</v>
      </c>
      <c r="U11">
        <v>4900</v>
      </c>
    </row>
    <row r="12" spans="1:22" x14ac:dyDescent="0.2">
      <c r="A12" s="8" t="s">
        <v>10</v>
      </c>
      <c r="B12" s="3"/>
      <c r="C12" s="3"/>
      <c r="D12" s="3"/>
      <c r="E12" s="3"/>
      <c r="F12" s="5"/>
      <c r="G12" s="10">
        <f t="shared" si="2"/>
        <v>36490</v>
      </c>
      <c r="J12" s="40" t="s">
        <v>108</v>
      </c>
      <c r="K12" s="30" t="s">
        <v>104</v>
      </c>
      <c r="L12" s="49">
        <f t="shared" si="1"/>
        <v>0</v>
      </c>
    </row>
    <row r="13" spans="1:22" x14ac:dyDescent="0.2">
      <c r="A13" s="8" t="s">
        <v>71</v>
      </c>
      <c r="B13" s="3"/>
      <c r="C13" s="3"/>
      <c r="D13" s="3"/>
      <c r="E13" s="3"/>
      <c r="F13" s="5"/>
      <c r="G13" s="10">
        <f t="shared" si="2"/>
        <v>0</v>
      </c>
      <c r="H13" s="9"/>
      <c r="J13" s="40" t="s">
        <v>119</v>
      </c>
      <c r="K13" s="30" t="s">
        <v>154</v>
      </c>
      <c r="L13" s="49">
        <f t="shared" si="1"/>
        <v>6000</v>
      </c>
      <c r="O13">
        <v>1000</v>
      </c>
      <c r="Q13">
        <v>5000</v>
      </c>
    </row>
    <row r="14" spans="1:22" x14ac:dyDescent="0.2">
      <c r="A14" s="62" t="s">
        <v>266</v>
      </c>
      <c r="B14" s="3"/>
      <c r="C14" s="3"/>
      <c r="D14" s="3"/>
      <c r="E14" s="3"/>
      <c r="F14" s="5"/>
      <c r="G14" s="10">
        <f>+L13</f>
        <v>6000</v>
      </c>
      <c r="J14" s="40" t="s">
        <v>120</v>
      </c>
      <c r="K14" s="30" t="s">
        <v>122</v>
      </c>
      <c r="L14" s="49">
        <f t="shared" si="1"/>
        <v>0</v>
      </c>
    </row>
    <row r="15" spans="1:22" x14ac:dyDescent="0.2">
      <c r="A15" s="8" t="s">
        <v>159</v>
      </c>
      <c r="B15" s="3"/>
      <c r="C15" s="3"/>
      <c r="D15" s="3"/>
      <c r="E15" s="3"/>
      <c r="F15" s="5"/>
      <c r="G15" s="94"/>
      <c r="J15" s="40" t="s">
        <v>121</v>
      </c>
      <c r="K15" s="30" t="s">
        <v>123</v>
      </c>
      <c r="L15" s="49">
        <f t="shared" si="1"/>
        <v>0</v>
      </c>
    </row>
    <row r="16" spans="1:22" x14ac:dyDescent="0.2">
      <c r="A16" s="8" t="s">
        <v>13</v>
      </c>
      <c r="B16" s="3"/>
      <c r="C16" s="3"/>
      <c r="D16" s="3"/>
      <c r="E16" s="3"/>
      <c r="F16" s="5"/>
      <c r="G16" s="10">
        <f t="shared" si="2"/>
        <v>0</v>
      </c>
      <c r="J16" s="40" t="s">
        <v>85</v>
      </c>
      <c r="K16" s="30" t="s">
        <v>106</v>
      </c>
      <c r="L16" s="49">
        <f t="shared" si="1"/>
        <v>0</v>
      </c>
    </row>
    <row r="17" spans="1:22" x14ac:dyDescent="0.2">
      <c r="A17" s="8" t="s">
        <v>14</v>
      </c>
      <c r="B17" s="3"/>
      <c r="C17" s="3"/>
      <c r="D17" s="3"/>
      <c r="E17" s="3"/>
      <c r="F17" s="5"/>
      <c r="G17" s="10">
        <f t="shared" si="2"/>
        <v>0</v>
      </c>
      <c r="H17" s="9" t="s">
        <v>11</v>
      </c>
      <c r="K17" s="50" t="s">
        <v>124</v>
      </c>
      <c r="L17" s="51">
        <f>SUM(L8:L16)</f>
        <v>352945</v>
      </c>
    </row>
    <row r="18" spans="1:22" x14ac:dyDescent="0.2">
      <c r="A18" s="11"/>
      <c r="B18" s="12"/>
      <c r="C18" s="12"/>
      <c r="D18" s="12"/>
      <c r="F18" s="13" t="s">
        <v>53</v>
      </c>
      <c r="G18" s="10">
        <f>SUM(G9:G17)</f>
        <v>352945</v>
      </c>
      <c r="H18" s="93">
        <f>SUM(G9:G17)</f>
        <v>352945</v>
      </c>
      <c r="J18" s="40" t="s">
        <v>86</v>
      </c>
      <c r="K18" s="30" t="s">
        <v>118</v>
      </c>
      <c r="L18" s="49">
        <f>SUM(M18:AP18)</f>
        <v>0</v>
      </c>
    </row>
    <row r="19" spans="1:22" x14ac:dyDescent="0.2">
      <c r="A19" s="8" t="s">
        <v>51</v>
      </c>
      <c r="B19" s="3"/>
      <c r="C19" s="3"/>
      <c r="D19" s="3"/>
      <c r="E19" s="3"/>
      <c r="F19" s="5"/>
      <c r="G19" s="94"/>
      <c r="J19" s="40" t="s">
        <v>87</v>
      </c>
      <c r="K19" s="30" t="s">
        <v>118</v>
      </c>
      <c r="L19" s="49">
        <f>SUM(M19:AP19)</f>
        <v>0</v>
      </c>
    </row>
    <row r="20" spans="1:22" x14ac:dyDescent="0.2">
      <c r="A20" s="8" t="s">
        <v>16</v>
      </c>
      <c r="B20" s="3"/>
      <c r="C20" s="3"/>
      <c r="D20" s="3"/>
      <c r="E20" s="3"/>
      <c r="F20" s="3"/>
      <c r="G20" s="10">
        <f>L18</f>
        <v>0</v>
      </c>
      <c r="K20" s="50" t="s">
        <v>128</v>
      </c>
      <c r="L20" s="51">
        <f>SUM(L18:L19)</f>
        <v>0</v>
      </c>
    </row>
    <row r="21" spans="1:22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50" t="s">
        <v>66</v>
      </c>
      <c r="L21" s="51">
        <f>SUM(L17,L20)</f>
        <v>352945</v>
      </c>
      <c r="O21" s="41"/>
    </row>
    <row r="22" spans="1:22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0</v>
      </c>
      <c r="H22" s="93">
        <f>G22</f>
        <v>0</v>
      </c>
    </row>
    <row r="23" spans="1:22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352945</v>
      </c>
      <c r="L23" t="s">
        <v>232</v>
      </c>
      <c r="M23">
        <v>1300</v>
      </c>
      <c r="O23" s="61"/>
    </row>
    <row r="24" spans="1:22" ht="10.5" customHeight="1" thickTop="1" x14ac:dyDescent="0.2">
      <c r="A24" s="1"/>
    </row>
    <row r="25" spans="1:22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2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/>
      <c r="O26" s="48">
        <v>2</v>
      </c>
      <c r="P26" s="48">
        <v>3</v>
      </c>
      <c r="Q26" s="48">
        <v>4</v>
      </c>
      <c r="R26" s="48"/>
      <c r="S26" s="48">
        <v>5</v>
      </c>
      <c r="T26" s="48">
        <v>6</v>
      </c>
      <c r="U26" s="48">
        <v>7</v>
      </c>
      <c r="V26" s="48">
        <v>8</v>
      </c>
    </row>
    <row r="27" spans="1:22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49">
        <f t="shared" ref="L27:L38" si="3">SUM(M27:AP27)</f>
        <v>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49">
        <f t="shared" si="3"/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6"/>
      <c r="B29" s="4" t="s">
        <v>161</v>
      </c>
      <c r="C29" s="3"/>
      <c r="D29" s="3"/>
      <c r="E29" s="3"/>
      <c r="F29" s="3"/>
      <c r="G29" s="10">
        <v>20000</v>
      </c>
      <c r="J29" s="40" t="s">
        <v>81</v>
      </c>
      <c r="K29" s="30" t="s">
        <v>158</v>
      </c>
      <c r="L29" s="49">
        <f t="shared" si="3"/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6"/>
      <c r="B30" s="4" t="s">
        <v>148</v>
      </c>
      <c r="C30" s="3"/>
      <c r="D30" s="3"/>
      <c r="E30" s="3"/>
      <c r="F30" s="3"/>
      <c r="G30" s="10">
        <f t="shared" ref="G30" si="4">L30</f>
        <v>0</v>
      </c>
      <c r="J30" s="40" t="s">
        <v>82</v>
      </c>
      <c r="K30" t="s">
        <v>149</v>
      </c>
      <c r="L30" s="49">
        <f t="shared" si="3"/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6"/>
      <c r="B31" s="4" t="s">
        <v>22</v>
      </c>
      <c r="C31" s="3"/>
      <c r="D31" s="3"/>
      <c r="E31" s="3"/>
      <c r="F31" s="3"/>
      <c r="G31" s="10">
        <v>50000</v>
      </c>
      <c r="J31" s="40" t="s">
        <v>84</v>
      </c>
      <c r="K31" t="s">
        <v>73</v>
      </c>
      <c r="L31" s="49">
        <f t="shared" si="3"/>
        <v>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2">
      <c r="A32" s="6"/>
      <c r="B32" s="4" t="s">
        <v>55</v>
      </c>
      <c r="C32" s="3"/>
      <c r="D32" s="3"/>
      <c r="E32" s="3"/>
      <c r="F32" s="3"/>
      <c r="G32" s="10">
        <f>+'SEP22'!G32+5000-900</f>
        <v>24800</v>
      </c>
      <c r="H32" s="9" t="s">
        <v>11</v>
      </c>
      <c r="J32" s="40" t="s">
        <v>85</v>
      </c>
      <c r="K32" t="s">
        <v>74</v>
      </c>
      <c r="L32" s="49">
        <f t="shared" si="3"/>
        <v>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6"/>
      <c r="B33" s="3"/>
      <c r="C33" s="3"/>
      <c r="D33" s="3"/>
      <c r="E33" s="3"/>
      <c r="F33" s="14" t="s">
        <v>23</v>
      </c>
      <c r="G33" s="10">
        <f>SUM($G27:$G32)</f>
        <v>124800</v>
      </c>
      <c r="H33" s="10">
        <f>SUM($G27:$G32)</f>
        <v>124800</v>
      </c>
      <c r="J33" s="40" t="s">
        <v>86</v>
      </c>
      <c r="K33" s="58" t="s">
        <v>75</v>
      </c>
      <c r="L33" s="49">
        <f t="shared" si="3"/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 t="shared" si="3"/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 t="shared" si="3"/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 t="shared" si="3"/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f t="shared" si="3"/>
        <v>0</v>
      </c>
      <c r="M37" s="32"/>
      <c r="N37" s="32"/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f t="shared" si="3"/>
        <v>0</v>
      </c>
      <c r="M38" s="32"/>
      <c r="N38" s="32"/>
    </row>
    <row r="39" spans="1:22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>5000+2200</f>
        <v>7200</v>
      </c>
      <c r="M39" s="32" t="s">
        <v>234</v>
      </c>
      <c r="N39" s="32"/>
    </row>
    <row r="40" spans="1:22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v>0</v>
      </c>
      <c r="M40" s="32"/>
      <c r="N40" s="32"/>
    </row>
    <row r="41" spans="1:22" x14ac:dyDescent="0.2">
      <c r="A41" s="6"/>
      <c r="B41" s="4" t="s">
        <v>33</v>
      </c>
      <c r="C41" s="3"/>
      <c r="D41" s="3"/>
      <c r="E41" s="3"/>
      <c r="F41" s="5"/>
      <c r="G41" s="10">
        <f>L37</f>
        <v>0</v>
      </c>
      <c r="J41" s="40" t="s">
        <v>99</v>
      </c>
      <c r="K41" s="30" t="s">
        <v>96</v>
      </c>
      <c r="L41" s="49">
        <f t="shared" ref="L41:L49" si="5">SUM(M41:AP41)</f>
        <v>0</v>
      </c>
      <c r="M41" s="32"/>
      <c r="N41" s="32"/>
    </row>
    <row r="42" spans="1:22" x14ac:dyDescent="0.2">
      <c r="A42" s="6"/>
      <c r="B42" s="4" t="s">
        <v>35</v>
      </c>
      <c r="C42" s="3"/>
      <c r="D42" s="3"/>
      <c r="E42" s="3"/>
      <c r="F42" s="5"/>
      <c r="G42" s="10">
        <f t="shared" ref="G42:G47" si="6">L38</f>
        <v>0</v>
      </c>
      <c r="J42" s="40" t="s">
        <v>100</v>
      </c>
      <c r="K42" s="30" t="s">
        <v>97</v>
      </c>
      <c r="L42" s="49">
        <f t="shared" si="5"/>
        <v>0</v>
      </c>
      <c r="M42" s="32"/>
      <c r="N42" s="32"/>
    </row>
    <row r="43" spans="1:22" x14ac:dyDescent="0.2">
      <c r="A43" s="6"/>
      <c r="B43" s="4" t="s">
        <v>29</v>
      </c>
      <c r="C43" s="3"/>
      <c r="D43" s="3"/>
      <c r="E43" s="3"/>
      <c r="F43" s="5"/>
      <c r="G43" s="10">
        <v>9130</v>
      </c>
      <c r="J43" s="40" t="s">
        <v>111</v>
      </c>
      <c r="K43" s="30" t="s">
        <v>65</v>
      </c>
      <c r="L43" s="49">
        <f t="shared" si="5"/>
        <v>0</v>
      </c>
      <c r="M43" s="32"/>
      <c r="N43" s="32"/>
    </row>
    <row r="44" spans="1:22" x14ac:dyDescent="0.2">
      <c r="A44" s="6"/>
      <c r="B44" s="4" t="s">
        <v>36</v>
      </c>
      <c r="C44" s="3"/>
      <c r="D44" s="3"/>
      <c r="E44" s="3"/>
      <c r="F44" s="5"/>
      <c r="G44" s="10">
        <v>0</v>
      </c>
      <c r="J44" s="40" t="s">
        <v>109</v>
      </c>
      <c r="K44" s="30" t="s">
        <v>141</v>
      </c>
      <c r="L44" s="49">
        <f t="shared" si="5"/>
        <v>0</v>
      </c>
      <c r="M44" s="32"/>
      <c r="N44" s="32"/>
    </row>
    <row r="45" spans="1:22" x14ac:dyDescent="0.2">
      <c r="A45" s="6"/>
      <c r="B45" s="4" t="s">
        <v>37</v>
      </c>
      <c r="C45" s="3"/>
      <c r="D45" s="3"/>
      <c r="E45" s="3"/>
      <c r="F45" s="5"/>
      <c r="G45" s="10">
        <v>0</v>
      </c>
      <c r="J45" s="40" t="s">
        <v>110</v>
      </c>
      <c r="K45" s="30" t="s">
        <v>65</v>
      </c>
      <c r="L45" s="49">
        <f t="shared" si="5"/>
        <v>0</v>
      </c>
      <c r="M45" s="32"/>
      <c r="N45" s="32"/>
    </row>
    <row r="46" spans="1:22" x14ac:dyDescent="0.2">
      <c r="A46" s="6"/>
      <c r="B46" s="4" t="s">
        <v>38</v>
      </c>
      <c r="C46" s="3"/>
      <c r="D46" s="3"/>
      <c r="E46" s="3"/>
      <c r="F46" s="5"/>
      <c r="G46" s="10">
        <f t="shared" si="6"/>
        <v>0</v>
      </c>
      <c r="J46" s="40" t="s">
        <v>112</v>
      </c>
      <c r="K46" s="30" t="s">
        <v>116</v>
      </c>
      <c r="L46" s="49">
        <f t="shared" si="5"/>
        <v>0</v>
      </c>
    </row>
    <row r="47" spans="1:22" x14ac:dyDescent="0.2">
      <c r="A47" s="6"/>
      <c r="B47" s="4" t="s">
        <v>233</v>
      </c>
      <c r="C47" s="3"/>
      <c r="D47" s="3"/>
      <c r="E47" s="3"/>
      <c r="F47" s="5"/>
      <c r="G47" s="10">
        <f t="shared" si="6"/>
        <v>0</v>
      </c>
      <c r="J47" s="40" t="s">
        <v>113</v>
      </c>
      <c r="K47" s="30" t="s">
        <v>117</v>
      </c>
      <c r="L47" s="49">
        <f t="shared" si="5"/>
        <v>0</v>
      </c>
    </row>
    <row r="48" spans="1:22" x14ac:dyDescent="0.2">
      <c r="A48" s="8" t="s">
        <v>30</v>
      </c>
      <c r="B48" s="3" t="s">
        <v>39</v>
      </c>
      <c r="C48" s="3" t="s">
        <v>235</v>
      </c>
      <c r="D48" s="3"/>
      <c r="E48" s="3"/>
      <c r="F48" s="5"/>
      <c r="G48" s="10">
        <v>0</v>
      </c>
      <c r="J48" s="40" t="s">
        <v>114</v>
      </c>
      <c r="K48" s="30" t="s">
        <v>118</v>
      </c>
      <c r="L48" s="49">
        <f t="shared" si="5"/>
        <v>0</v>
      </c>
      <c r="M48" s="32"/>
      <c r="N48" s="32"/>
    </row>
    <row r="49" spans="1:14" x14ac:dyDescent="0.2">
      <c r="A49" s="8" t="s">
        <v>0</v>
      </c>
      <c r="B49" s="3" t="s">
        <v>39</v>
      </c>
      <c r="C49" s="3" t="s">
        <v>222</v>
      </c>
      <c r="D49" s="3"/>
      <c r="E49" s="3"/>
      <c r="F49" s="5"/>
      <c r="G49" s="10">
        <v>100000</v>
      </c>
      <c r="H49" s="9" t="s">
        <v>18</v>
      </c>
      <c r="J49" s="40" t="s">
        <v>115</v>
      </c>
      <c r="K49" s="30" t="s">
        <v>118</v>
      </c>
      <c r="L49" s="49">
        <f t="shared" si="5"/>
        <v>0</v>
      </c>
      <c r="M49" s="32"/>
      <c r="N49" s="32"/>
    </row>
    <row r="50" spans="1:14" x14ac:dyDescent="0.2">
      <c r="A50" s="6"/>
      <c r="B50" s="3"/>
      <c r="C50" s="3"/>
      <c r="D50" s="3"/>
      <c r="E50" s="3"/>
      <c r="F50" s="14" t="s">
        <v>40</v>
      </c>
      <c r="G50" s="10">
        <f>SUM($G41:$G49)</f>
        <v>109130</v>
      </c>
      <c r="H50" s="10">
        <f>SUM($G41:$G49)</f>
        <v>109130</v>
      </c>
      <c r="K50" s="53" t="s">
        <v>124</v>
      </c>
      <c r="L50" s="54">
        <f>SUM(L27:L32)</f>
        <v>0</v>
      </c>
    </row>
    <row r="51" spans="1:14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4" x14ac:dyDescent="0.2">
      <c r="A52" s="6"/>
      <c r="B52" s="4" t="s">
        <v>42</v>
      </c>
      <c r="C52" s="3"/>
      <c r="D52" s="3"/>
      <c r="E52" s="3"/>
      <c r="F52" s="5"/>
      <c r="G52" s="10">
        <f>(H18*5)/100</f>
        <v>17647.25</v>
      </c>
      <c r="K52" s="53" t="s">
        <v>126</v>
      </c>
      <c r="L52" s="54">
        <f>SUM(L37:L45)</f>
        <v>7200</v>
      </c>
    </row>
    <row r="53" spans="1:14" x14ac:dyDescent="0.2">
      <c r="A53" s="6"/>
      <c r="B53" s="4" t="s">
        <v>58</v>
      </c>
      <c r="C53" s="3"/>
      <c r="D53" s="3"/>
      <c r="E53" s="3"/>
      <c r="F53" s="5"/>
      <c r="G53" s="10">
        <f>(H18*5)/100</f>
        <v>17647.25</v>
      </c>
      <c r="K53" s="53" t="s">
        <v>66</v>
      </c>
      <c r="L53" s="54">
        <f>SUM(L27:L49)</f>
        <v>7200</v>
      </c>
    </row>
    <row r="54" spans="1:14" x14ac:dyDescent="0.2">
      <c r="A54" s="6"/>
      <c r="B54" s="4"/>
      <c r="C54" s="3"/>
      <c r="D54" s="3"/>
      <c r="E54" s="3"/>
      <c r="F54" s="5"/>
      <c r="G54" s="10"/>
    </row>
    <row r="55" spans="1:14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4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35294.5</v>
      </c>
      <c r="H56" s="10">
        <f>SUM($G52:$G55)</f>
        <v>35294.5</v>
      </c>
    </row>
    <row r="57" spans="1:14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269224.5</v>
      </c>
      <c r="K57" s="76"/>
      <c r="L57" s="77"/>
    </row>
    <row r="58" spans="1:14" ht="14.25" thickTop="1" thickBot="1" x14ac:dyDescent="0.25">
      <c r="A58" s="17"/>
      <c r="B58" s="7"/>
      <c r="C58" s="7"/>
      <c r="D58" s="7"/>
      <c r="E58" s="7"/>
      <c r="F58" s="7"/>
      <c r="K58" s="72"/>
      <c r="L58" s="72"/>
    </row>
    <row r="59" spans="1:14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83720.5</v>
      </c>
    </row>
    <row r="60" spans="1:14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'SEP22'!H61</f>
        <v>411843.3250000003</v>
      </c>
    </row>
    <row r="61" spans="1:14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495563.8250000003</v>
      </c>
    </row>
    <row r="62" spans="1:14" ht="13.5" thickTop="1" x14ac:dyDescent="0.2"/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2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2"/>
  <sheetViews>
    <sheetView topLeftCell="D55" zoomScale="90" zoomScaleNormal="90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30.5703125" bestFit="1" customWidth="1"/>
    <col min="8" max="8" width="14.1406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7.42578125" bestFit="1" customWidth="1"/>
    <col min="13" max="13" width="17.42578125" style="72" customWidth="1"/>
    <col min="14" max="14" width="13.140625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2022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64</v>
      </c>
      <c r="G5" s="43"/>
    </row>
    <row r="6" spans="1:22" ht="10.5" customHeight="1" thickTop="1" x14ac:dyDescent="0.2">
      <c r="A6" s="1"/>
      <c r="M6" s="72" t="s">
        <v>267</v>
      </c>
      <c r="N6" s="39" t="s">
        <v>170</v>
      </c>
      <c r="O6" s="39" t="s">
        <v>68</v>
      </c>
      <c r="P6" s="39" t="s">
        <v>67</v>
      </c>
      <c r="Q6" s="39" t="s">
        <v>68</v>
      </c>
      <c r="R6" s="39" t="s">
        <v>67</v>
      </c>
      <c r="S6" s="39" t="s">
        <v>68</v>
      </c>
      <c r="T6" s="39" t="s">
        <v>67</v>
      </c>
      <c r="U6" s="39" t="s">
        <v>68</v>
      </c>
      <c r="V6" s="39"/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27" t="s">
        <v>60</v>
      </c>
      <c r="L7" s="28" t="s">
        <v>61</v>
      </c>
      <c r="M7" s="48">
        <v>2</v>
      </c>
      <c r="N7" s="48">
        <v>5</v>
      </c>
      <c r="O7" s="29">
        <f>+N7+1</f>
        <v>6</v>
      </c>
      <c r="P7" s="29">
        <f>+N7+7</f>
        <v>12</v>
      </c>
      <c r="Q7" s="48">
        <f>+O7+7</f>
        <v>13</v>
      </c>
      <c r="R7" s="48">
        <f>+P7+7</f>
        <v>19</v>
      </c>
      <c r="S7" s="48">
        <f>+Q7+7</f>
        <v>20</v>
      </c>
      <c r="T7" s="48">
        <f t="shared" ref="T7:U7" si="0">+R7+7</f>
        <v>26</v>
      </c>
      <c r="U7" s="48">
        <f t="shared" si="0"/>
        <v>27</v>
      </c>
      <c r="V7" s="88"/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31">
        <v>94500</v>
      </c>
      <c r="M8" s="90"/>
    </row>
    <row r="9" spans="1:22" x14ac:dyDescent="0.2">
      <c r="A9" s="8" t="s">
        <v>7</v>
      </c>
      <c r="B9" s="3"/>
      <c r="C9" s="3"/>
      <c r="D9" s="3"/>
      <c r="E9" s="3"/>
      <c r="F9" s="5"/>
      <c r="G9" s="10">
        <f>+L8</f>
        <v>94500</v>
      </c>
      <c r="J9" s="40" t="s">
        <v>80</v>
      </c>
      <c r="K9" s="30" t="s">
        <v>102</v>
      </c>
      <c r="L9" s="31">
        <f>SUM(M9:AQ9)</f>
        <v>196512</v>
      </c>
      <c r="M9" s="90">
        <v>9040</v>
      </c>
      <c r="N9">
        <v>12360</v>
      </c>
      <c r="O9">
        <f>9350+8420+13401</f>
        <v>31171</v>
      </c>
      <c r="P9">
        <v>7020</v>
      </c>
      <c r="Q9">
        <f>5194+14780+12520</f>
        <v>32494</v>
      </c>
      <c r="R9">
        <v>9880</v>
      </c>
      <c r="S9">
        <f>12286+9340+1000+13550</f>
        <v>36176</v>
      </c>
      <c r="T9">
        <v>17190</v>
      </c>
      <c r="U9">
        <f>5511+13570+22100</f>
        <v>41181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 t="shared" ref="G10:G17" si="1">L9</f>
        <v>196512</v>
      </c>
      <c r="J10" s="40" t="s">
        <v>81</v>
      </c>
      <c r="K10" s="30" t="s">
        <v>103</v>
      </c>
      <c r="L10" s="31">
        <f t="shared" ref="L10:L16" si="2">SUM(N10:AQ10)</f>
        <v>0</v>
      </c>
      <c r="M10" s="90"/>
    </row>
    <row r="11" spans="1:22" x14ac:dyDescent="0.2">
      <c r="A11" s="8" t="s">
        <v>9</v>
      </c>
      <c r="B11" s="3"/>
      <c r="C11" s="3"/>
      <c r="D11" s="3"/>
      <c r="E11" s="3"/>
      <c r="F11" s="5"/>
      <c r="G11" s="10">
        <f t="shared" si="1"/>
        <v>0</v>
      </c>
      <c r="J11" s="40" t="s">
        <v>107</v>
      </c>
      <c r="K11" s="30" t="s">
        <v>105</v>
      </c>
      <c r="L11" s="31">
        <f t="shared" si="2"/>
        <v>24150</v>
      </c>
      <c r="M11" s="90"/>
      <c r="N11">
        <v>7000</v>
      </c>
      <c r="P11">
        <v>9050</v>
      </c>
      <c r="R11">
        <v>1000</v>
      </c>
      <c r="S11">
        <v>5000</v>
      </c>
      <c r="T11">
        <v>2100</v>
      </c>
      <c r="U11">
        <v>0</v>
      </c>
    </row>
    <row r="12" spans="1:22" x14ac:dyDescent="0.2">
      <c r="A12" s="8" t="s">
        <v>10</v>
      </c>
      <c r="B12" s="3"/>
      <c r="C12" s="3"/>
      <c r="D12" s="3"/>
      <c r="E12" s="3"/>
      <c r="F12" s="5"/>
      <c r="G12" s="10">
        <f t="shared" si="1"/>
        <v>24150</v>
      </c>
      <c r="J12" s="40" t="s">
        <v>108</v>
      </c>
      <c r="K12" s="30" t="s">
        <v>104</v>
      </c>
      <c r="L12" s="31">
        <f t="shared" si="2"/>
        <v>25000</v>
      </c>
      <c r="M12" s="90"/>
      <c r="N12">
        <v>0</v>
      </c>
      <c r="S12">
        <v>25000</v>
      </c>
    </row>
    <row r="13" spans="1:22" x14ac:dyDescent="0.2">
      <c r="A13" s="8"/>
      <c r="B13" s="3"/>
      <c r="C13" s="3" t="s">
        <v>237</v>
      </c>
      <c r="D13" s="3"/>
      <c r="E13" s="3"/>
      <c r="F13" s="5"/>
      <c r="G13" s="10">
        <f>+L12</f>
        <v>25000</v>
      </c>
      <c r="H13" s="9"/>
      <c r="J13" s="40" t="s">
        <v>236</v>
      </c>
      <c r="K13" s="30" t="s">
        <v>154</v>
      </c>
      <c r="L13" s="31">
        <f t="shared" si="2"/>
        <v>3500</v>
      </c>
      <c r="M13" s="90"/>
      <c r="N13">
        <v>0</v>
      </c>
      <c r="O13">
        <v>1000</v>
      </c>
      <c r="U13">
        <v>2500</v>
      </c>
    </row>
    <row r="14" spans="1:22" x14ac:dyDescent="0.2">
      <c r="B14" s="3"/>
      <c r="C14" s="3" t="s">
        <v>154</v>
      </c>
      <c r="D14" s="3"/>
      <c r="E14" s="3"/>
      <c r="F14" s="5"/>
      <c r="G14" s="10">
        <f>+L13</f>
        <v>3500</v>
      </c>
      <c r="J14" s="40" t="s">
        <v>120</v>
      </c>
      <c r="K14" s="30" t="s">
        <v>122</v>
      </c>
      <c r="L14" s="31">
        <f t="shared" si="2"/>
        <v>0</v>
      </c>
      <c r="M14" s="90"/>
    </row>
    <row r="15" spans="1:22" x14ac:dyDescent="0.2">
      <c r="A15" s="8" t="s">
        <v>12</v>
      </c>
      <c r="B15" s="3"/>
      <c r="C15" s="3"/>
      <c r="D15" s="3"/>
      <c r="E15" s="3"/>
      <c r="F15" s="5"/>
      <c r="G15" s="10">
        <f t="shared" si="1"/>
        <v>0</v>
      </c>
      <c r="J15" s="40" t="s">
        <v>121</v>
      </c>
      <c r="K15" s="30" t="s">
        <v>123</v>
      </c>
      <c r="L15" s="31">
        <f t="shared" si="2"/>
        <v>0</v>
      </c>
      <c r="M15" s="90"/>
    </row>
    <row r="16" spans="1:22" x14ac:dyDescent="0.2">
      <c r="A16" s="8" t="s">
        <v>13</v>
      </c>
      <c r="B16" s="3"/>
      <c r="C16" s="3"/>
      <c r="D16" s="3"/>
      <c r="E16" s="3"/>
      <c r="F16" s="5"/>
      <c r="G16" s="10">
        <f t="shared" si="1"/>
        <v>0</v>
      </c>
      <c r="J16" s="40" t="s">
        <v>85</v>
      </c>
      <c r="K16" s="30" t="s">
        <v>106</v>
      </c>
      <c r="L16" s="31">
        <f t="shared" si="2"/>
        <v>0</v>
      </c>
      <c r="M16" s="90"/>
    </row>
    <row r="17" spans="1:22" x14ac:dyDescent="0.2">
      <c r="A17" s="8" t="s">
        <v>14</v>
      </c>
      <c r="B17" s="3"/>
      <c r="C17" s="3"/>
      <c r="D17" s="3"/>
      <c r="E17" s="3"/>
      <c r="F17" s="5"/>
      <c r="G17" s="10">
        <f t="shared" si="1"/>
        <v>0</v>
      </c>
      <c r="H17" s="9" t="s">
        <v>11</v>
      </c>
      <c r="K17" s="33" t="s">
        <v>124</v>
      </c>
      <c r="L17" s="34">
        <f>SUM(L8:L16)</f>
        <v>343662</v>
      </c>
      <c r="M17" s="90"/>
    </row>
    <row r="18" spans="1:22" x14ac:dyDescent="0.2">
      <c r="A18" s="11"/>
      <c r="B18" s="12"/>
      <c r="C18" s="12"/>
      <c r="D18" s="12"/>
      <c r="F18" s="13" t="s">
        <v>53</v>
      </c>
      <c r="G18" s="10">
        <f>SUM(G9:G17)</f>
        <v>343662</v>
      </c>
      <c r="H18" s="10">
        <f>SUM(G9:G17)</f>
        <v>343662</v>
      </c>
      <c r="J18" s="40" t="s">
        <v>86</v>
      </c>
      <c r="K18" s="30" t="s">
        <v>118</v>
      </c>
      <c r="L18" s="31">
        <f>SUM(N18:AQ18)</f>
        <v>0</v>
      </c>
      <c r="M18" s="90"/>
    </row>
    <row r="19" spans="1:22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31">
        <f>SUM(N19:AQ19)</f>
        <v>0</v>
      </c>
      <c r="M19" s="90"/>
    </row>
    <row r="20" spans="1:22" x14ac:dyDescent="0.2">
      <c r="A20" s="8" t="s">
        <v>16</v>
      </c>
      <c r="B20" s="3"/>
      <c r="C20" s="3"/>
      <c r="D20" s="3"/>
      <c r="E20" s="3"/>
      <c r="F20" s="3"/>
      <c r="G20" s="10">
        <f>L18</f>
        <v>0</v>
      </c>
      <c r="K20" s="33" t="s">
        <v>128</v>
      </c>
      <c r="L20" s="34">
        <f>SUM(L18:L19)</f>
        <v>0</v>
      </c>
      <c r="M20" s="90"/>
    </row>
    <row r="21" spans="1:22" x14ac:dyDescent="0.2">
      <c r="A21" s="8" t="s">
        <v>17</v>
      </c>
      <c r="B21" s="3"/>
      <c r="C21" s="3"/>
      <c r="D21" s="3"/>
      <c r="E21" s="3"/>
      <c r="F21" s="3"/>
      <c r="G21" s="10">
        <f>L19</f>
        <v>0</v>
      </c>
      <c r="H21" s="9" t="s">
        <v>15</v>
      </c>
      <c r="K21" s="33" t="s">
        <v>66</v>
      </c>
      <c r="L21" s="34">
        <f>SUM(L17,L20)</f>
        <v>343662</v>
      </c>
      <c r="M21" s="90"/>
      <c r="O21" s="41"/>
    </row>
    <row r="22" spans="1:22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0</v>
      </c>
      <c r="H22" s="10">
        <f>G22</f>
        <v>0</v>
      </c>
    </row>
    <row r="23" spans="1:22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343662</v>
      </c>
    </row>
    <row r="24" spans="1:22" ht="10.5" customHeight="1" thickTop="1" x14ac:dyDescent="0.2">
      <c r="A24" s="1"/>
    </row>
    <row r="25" spans="1:22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2" x14ac:dyDescent="0.2">
      <c r="A26" s="8" t="s">
        <v>26</v>
      </c>
      <c r="B26" s="3"/>
      <c r="C26" s="3"/>
      <c r="D26" s="3"/>
      <c r="E26" s="3"/>
      <c r="F26" s="5"/>
      <c r="K26" s="35" t="s">
        <v>19</v>
      </c>
      <c r="L26" s="28" t="s">
        <v>61</v>
      </c>
      <c r="M26" s="88"/>
      <c r="N26" s="48"/>
      <c r="O26" s="29">
        <v>2</v>
      </c>
      <c r="P26" s="29">
        <v>3</v>
      </c>
      <c r="Q26" s="29">
        <v>4</v>
      </c>
      <c r="R26" s="29">
        <v>5</v>
      </c>
      <c r="S26" s="29">
        <v>6</v>
      </c>
      <c r="T26" s="29">
        <v>7</v>
      </c>
      <c r="U26" s="29">
        <v>8</v>
      </c>
      <c r="V26" s="29">
        <v>10</v>
      </c>
    </row>
    <row r="27" spans="1:22" x14ac:dyDescent="0.2">
      <c r="A27" s="8"/>
      <c r="B27" s="3" t="s">
        <v>25</v>
      </c>
      <c r="C27" s="3"/>
      <c r="D27" s="3"/>
      <c r="E27" s="3"/>
      <c r="F27" s="3"/>
      <c r="G27" s="10">
        <v>30000</v>
      </c>
      <c r="J27" s="40" t="s">
        <v>83</v>
      </c>
      <c r="K27" s="30" t="s">
        <v>69</v>
      </c>
      <c r="L27" s="31">
        <f>SUM(N27:AQ27)</f>
        <v>0</v>
      </c>
      <c r="M27" s="90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6"/>
      <c r="B28" s="4" t="s">
        <v>20</v>
      </c>
      <c r="C28" s="3"/>
      <c r="D28" s="3"/>
      <c r="E28" s="3"/>
      <c r="F28" s="3"/>
      <c r="G28" s="10">
        <v>0</v>
      </c>
      <c r="J28" s="40" t="s">
        <v>80</v>
      </c>
      <c r="K28" t="s">
        <v>72</v>
      </c>
      <c r="L28" s="31">
        <v>0</v>
      </c>
      <c r="M28" s="90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6"/>
      <c r="B29" s="4" t="s">
        <v>196</v>
      </c>
      <c r="C29" s="3"/>
      <c r="D29" s="3"/>
      <c r="E29" s="3"/>
      <c r="F29" s="3"/>
      <c r="G29" s="10">
        <v>20000</v>
      </c>
      <c r="J29" s="40" t="s">
        <v>81</v>
      </c>
      <c r="K29" s="30" t="s">
        <v>162</v>
      </c>
      <c r="L29" s="31">
        <f>SUM(N29:AQ29)</f>
        <v>0</v>
      </c>
      <c r="M29" s="90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6"/>
      <c r="B30" s="4" t="s">
        <v>148</v>
      </c>
      <c r="C30" s="3"/>
      <c r="D30" s="3"/>
      <c r="E30" s="3"/>
      <c r="F30" s="3"/>
      <c r="G30" s="10">
        <f t="shared" ref="G30" si="3">L30</f>
        <v>0</v>
      </c>
      <c r="J30" s="40" t="s">
        <v>82</v>
      </c>
      <c r="K30" t="s">
        <v>149</v>
      </c>
      <c r="L30" s="31">
        <f>SUM(N30:AQ30)</f>
        <v>0</v>
      </c>
      <c r="M30" s="90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6"/>
      <c r="B31" s="4" t="s">
        <v>22</v>
      </c>
      <c r="C31" s="3"/>
      <c r="D31" s="3"/>
      <c r="E31" s="3"/>
      <c r="F31" s="3"/>
      <c r="G31" s="10">
        <f>40000+30000</f>
        <v>70000</v>
      </c>
      <c r="J31" s="40" t="s">
        <v>84</v>
      </c>
      <c r="K31" t="s">
        <v>73</v>
      </c>
      <c r="L31" s="31">
        <f>15000+18000</f>
        <v>33000</v>
      </c>
      <c r="M31" s="90"/>
      <c r="N31" s="32" t="s">
        <v>198</v>
      </c>
      <c r="O31" s="32"/>
      <c r="P31" s="32"/>
      <c r="Q31" s="32"/>
      <c r="R31" s="32"/>
      <c r="S31" s="32"/>
      <c r="T31" s="32"/>
      <c r="U31" s="32"/>
      <c r="V31" s="32"/>
    </row>
    <row r="32" spans="1:22" x14ac:dyDescent="0.2">
      <c r="A32" s="6"/>
      <c r="B32" s="4" t="s">
        <v>55</v>
      </c>
      <c r="C32" s="3"/>
      <c r="D32" s="3"/>
      <c r="E32" s="3"/>
      <c r="F32" s="3"/>
      <c r="G32" s="10">
        <f>+'OCT22'!G32</f>
        <v>24800</v>
      </c>
      <c r="H32" s="9" t="s">
        <v>11</v>
      </c>
      <c r="J32" s="40" t="s">
        <v>85</v>
      </c>
      <c r="K32" t="s">
        <v>74</v>
      </c>
      <c r="L32" s="31"/>
      <c r="M32" s="90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6"/>
      <c r="B33" s="3"/>
      <c r="C33" s="3"/>
      <c r="D33" s="3"/>
      <c r="E33" s="3"/>
      <c r="F33" s="14" t="s">
        <v>23</v>
      </c>
      <c r="G33" s="10">
        <f>SUM($G27:$G32)</f>
        <v>144800</v>
      </c>
      <c r="H33" s="10">
        <f>SUM($G27:$G32)</f>
        <v>144800</v>
      </c>
      <c r="J33" s="40" t="s">
        <v>86</v>
      </c>
      <c r="K33" s="58" t="s">
        <v>75</v>
      </c>
      <c r="L33" s="31">
        <f t="shared" ref="L33:L38" si="4">SUM(N33:AQ33)</f>
        <v>0</v>
      </c>
      <c r="M33" s="90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31">
        <f t="shared" si="4"/>
        <v>0</v>
      </c>
      <c r="M34" s="90"/>
      <c r="N34" s="32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31">
        <f t="shared" si="4"/>
        <v>0</v>
      </c>
      <c r="M35" s="90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31">
        <f t="shared" si="4"/>
        <v>0</v>
      </c>
      <c r="M36" s="90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31">
        <f t="shared" si="4"/>
        <v>0</v>
      </c>
      <c r="M37" s="90"/>
      <c r="N37" s="32"/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31">
        <f t="shared" si="4"/>
        <v>0</v>
      </c>
      <c r="M38" s="90"/>
      <c r="N38" s="32"/>
    </row>
    <row r="39" spans="1:22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>6200+4700</f>
        <v>10900</v>
      </c>
      <c r="M39" s="90"/>
      <c r="N39" s="32" t="s">
        <v>239</v>
      </c>
      <c r="O39" t="s">
        <v>197</v>
      </c>
    </row>
    <row r="40" spans="1:22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31">
        <f t="shared" ref="L40:L49" si="5">SUM(N40:AQ40)</f>
        <v>0</v>
      </c>
      <c r="M40" s="90"/>
      <c r="N40" s="32"/>
    </row>
    <row r="41" spans="1:22" x14ac:dyDescent="0.2">
      <c r="A41" s="6"/>
      <c r="B41" s="4" t="s">
        <v>33</v>
      </c>
      <c r="C41" s="3"/>
      <c r="D41" s="3"/>
      <c r="E41" s="3" t="s">
        <v>269</v>
      </c>
      <c r="F41" s="5"/>
      <c r="G41" s="10">
        <v>124000</v>
      </c>
      <c r="J41" s="40" t="s">
        <v>99</v>
      </c>
      <c r="K41" s="30" t="s">
        <v>96</v>
      </c>
      <c r="L41" s="31">
        <f t="shared" si="5"/>
        <v>0</v>
      </c>
      <c r="M41" s="90"/>
      <c r="N41" s="32"/>
    </row>
    <row r="42" spans="1:22" x14ac:dyDescent="0.2">
      <c r="A42" s="6"/>
      <c r="B42" s="4" t="s">
        <v>35</v>
      </c>
      <c r="C42" s="3"/>
      <c r="D42" s="3"/>
      <c r="E42" s="3"/>
      <c r="F42" s="5"/>
      <c r="G42" s="10">
        <f t="shared" ref="G42:G46" si="6">L38</f>
        <v>0</v>
      </c>
      <c r="J42" s="40" t="s">
        <v>100</v>
      </c>
      <c r="K42" s="30" t="s">
        <v>97</v>
      </c>
      <c r="L42" s="31">
        <f t="shared" si="5"/>
        <v>0</v>
      </c>
      <c r="M42" s="90"/>
      <c r="N42" s="32"/>
    </row>
    <row r="43" spans="1:22" x14ac:dyDescent="0.2">
      <c r="A43" s="6"/>
      <c r="B43" s="4" t="s">
        <v>29</v>
      </c>
      <c r="C43" s="3"/>
      <c r="D43" s="3"/>
      <c r="E43" s="3"/>
      <c r="F43" s="5"/>
      <c r="G43" s="10">
        <v>27000</v>
      </c>
      <c r="J43" s="40" t="s">
        <v>111</v>
      </c>
      <c r="K43" s="30" t="s">
        <v>171</v>
      </c>
      <c r="L43" s="49">
        <f t="shared" si="5"/>
        <v>0</v>
      </c>
      <c r="M43" s="90"/>
      <c r="N43" s="32"/>
    </row>
    <row r="44" spans="1:22" x14ac:dyDescent="0.2">
      <c r="A44" s="6"/>
      <c r="B44" s="4" t="s">
        <v>36</v>
      </c>
      <c r="C44" s="3"/>
      <c r="D44" s="3"/>
      <c r="E44" s="3"/>
      <c r="F44" s="5"/>
      <c r="G44" s="10">
        <f t="shared" si="6"/>
        <v>0</v>
      </c>
      <c r="J44" s="40" t="s">
        <v>109</v>
      </c>
      <c r="K44" s="30" t="s">
        <v>141</v>
      </c>
      <c r="L44" s="31">
        <f t="shared" si="5"/>
        <v>0</v>
      </c>
      <c r="M44" s="90"/>
      <c r="N44" s="32"/>
    </row>
    <row r="45" spans="1:22" x14ac:dyDescent="0.2">
      <c r="A45" s="6"/>
      <c r="B45" s="4" t="s">
        <v>37</v>
      </c>
      <c r="C45" s="3"/>
      <c r="D45" s="3"/>
      <c r="E45" s="3"/>
      <c r="F45" s="5"/>
      <c r="G45" s="10">
        <f t="shared" si="6"/>
        <v>0</v>
      </c>
      <c r="J45" s="40" t="s">
        <v>110</v>
      </c>
      <c r="K45" s="30" t="s">
        <v>65</v>
      </c>
      <c r="L45" s="31">
        <f t="shared" si="5"/>
        <v>0</v>
      </c>
      <c r="M45" s="90"/>
      <c r="N45" s="32"/>
    </row>
    <row r="46" spans="1:22" x14ac:dyDescent="0.2">
      <c r="A46" s="6"/>
      <c r="B46" s="4" t="s">
        <v>38</v>
      </c>
      <c r="C46" s="3"/>
      <c r="D46" s="3"/>
      <c r="E46" s="3"/>
      <c r="F46" s="5"/>
      <c r="G46" s="10">
        <f t="shared" si="6"/>
        <v>0</v>
      </c>
      <c r="J46" s="40" t="s">
        <v>112</v>
      </c>
      <c r="K46" s="30" t="s">
        <v>116</v>
      </c>
      <c r="L46" s="31">
        <f t="shared" si="5"/>
        <v>0</v>
      </c>
      <c r="M46" s="90"/>
    </row>
    <row r="47" spans="1:22" x14ac:dyDescent="0.2">
      <c r="A47" s="6"/>
      <c r="B47" s="4" t="s">
        <v>238</v>
      </c>
      <c r="C47" s="3"/>
      <c r="D47" s="3"/>
      <c r="E47" s="3"/>
      <c r="F47" s="5"/>
      <c r="G47" s="10"/>
      <c r="J47" s="40" t="s">
        <v>113</v>
      </c>
      <c r="K47" s="30" t="s">
        <v>117</v>
      </c>
      <c r="L47" s="31">
        <f t="shared" si="5"/>
        <v>0</v>
      </c>
      <c r="M47" s="90"/>
    </row>
    <row r="48" spans="1:22" x14ac:dyDescent="0.2">
      <c r="A48" s="8" t="s">
        <v>30</v>
      </c>
      <c r="B48" s="3" t="s">
        <v>39</v>
      </c>
      <c r="C48" s="3" t="s">
        <v>204</v>
      </c>
      <c r="D48" s="3"/>
      <c r="E48" s="3"/>
      <c r="F48" s="5"/>
      <c r="G48" s="10">
        <v>50000</v>
      </c>
      <c r="J48" s="40" t="s">
        <v>114</v>
      </c>
      <c r="K48" s="30" t="s">
        <v>118</v>
      </c>
      <c r="L48" s="31">
        <f t="shared" si="5"/>
        <v>0</v>
      </c>
      <c r="M48" s="90"/>
      <c r="N48" s="32"/>
    </row>
    <row r="49" spans="1:14" x14ac:dyDescent="0.2">
      <c r="A49" s="8" t="s">
        <v>0</v>
      </c>
      <c r="B49" s="3" t="s">
        <v>39</v>
      </c>
      <c r="C49" s="3" t="s">
        <v>268</v>
      </c>
      <c r="D49" s="3"/>
      <c r="E49" s="3"/>
      <c r="F49" s="5"/>
      <c r="G49" s="10">
        <v>50000</v>
      </c>
      <c r="H49" s="9" t="s">
        <v>18</v>
      </c>
      <c r="J49" s="40" t="s">
        <v>115</v>
      </c>
      <c r="K49" s="30" t="s">
        <v>118</v>
      </c>
      <c r="L49" s="31">
        <f t="shared" si="5"/>
        <v>0</v>
      </c>
      <c r="M49" s="90"/>
      <c r="N49" s="32"/>
    </row>
    <row r="50" spans="1:14" x14ac:dyDescent="0.2">
      <c r="A50" s="6"/>
      <c r="B50" s="3"/>
      <c r="C50" s="3"/>
      <c r="D50" s="3"/>
      <c r="E50" s="3"/>
      <c r="F50" s="14" t="s">
        <v>40</v>
      </c>
      <c r="G50" s="10">
        <f>SUM($G41:$G49)</f>
        <v>251000</v>
      </c>
      <c r="H50" s="10">
        <f>SUM($G41:$G49)</f>
        <v>251000</v>
      </c>
      <c r="K50" s="36" t="s">
        <v>124</v>
      </c>
      <c r="L50" s="37">
        <f>SUM(L27:L32)</f>
        <v>33000</v>
      </c>
      <c r="M50" s="90"/>
    </row>
    <row r="51" spans="1:14" x14ac:dyDescent="0.2">
      <c r="A51" s="8" t="s">
        <v>41</v>
      </c>
      <c r="B51" s="3"/>
      <c r="C51" s="3"/>
      <c r="D51" s="3"/>
      <c r="E51" s="3"/>
      <c r="F51" s="5"/>
      <c r="K51" s="36" t="s">
        <v>125</v>
      </c>
      <c r="L51" s="37">
        <f>SUM(L33:L36)</f>
        <v>0</v>
      </c>
      <c r="M51" s="90"/>
    </row>
    <row r="52" spans="1:14" x14ac:dyDescent="0.2">
      <c r="A52" s="6"/>
      <c r="B52" s="4" t="s">
        <v>42</v>
      </c>
      <c r="C52" s="3"/>
      <c r="D52" s="3"/>
      <c r="E52" s="3"/>
      <c r="F52" s="5"/>
      <c r="G52" s="10">
        <f>(H18*5)/100</f>
        <v>17183.099999999999</v>
      </c>
      <c r="K52" s="36" t="s">
        <v>126</v>
      </c>
      <c r="L52" s="37">
        <f>SUM(L37:L45)</f>
        <v>10900</v>
      </c>
      <c r="M52" s="90"/>
    </row>
    <row r="53" spans="1:14" x14ac:dyDescent="0.2">
      <c r="A53" s="6"/>
      <c r="B53" s="4" t="s">
        <v>58</v>
      </c>
      <c r="C53" s="3"/>
      <c r="D53" s="3"/>
      <c r="E53" s="3"/>
      <c r="F53" s="5"/>
      <c r="G53" s="10">
        <f>(H18*5)/100</f>
        <v>17183.099999999999</v>
      </c>
      <c r="K53" s="36" t="s">
        <v>66</v>
      </c>
      <c r="L53" s="37">
        <f>SUM(L27:L49)</f>
        <v>43900</v>
      </c>
      <c r="M53" s="90"/>
    </row>
    <row r="54" spans="1:14" x14ac:dyDescent="0.2">
      <c r="A54" s="6"/>
      <c r="B54" s="4" t="s">
        <v>43</v>
      </c>
      <c r="C54" s="3"/>
      <c r="D54" s="3"/>
      <c r="E54" s="3"/>
      <c r="F54" s="5"/>
      <c r="G54" s="10">
        <f>L48</f>
        <v>0</v>
      </c>
    </row>
    <row r="55" spans="1:14" x14ac:dyDescent="0.2">
      <c r="A55" s="6"/>
      <c r="B55" s="4" t="s">
        <v>57</v>
      </c>
      <c r="C55" s="3"/>
      <c r="D55" s="3"/>
      <c r="E55" s="3"/>
      <c r="F55" s="5"/>
      <c r="G55" s="10">
        <f>L49</f>
        <v>0</v>
      </c>
      <c r="H55" s="9" t="s">
        <v>45</v>
      </c>
    </row>
    <row r="56" spans="1:14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34366.199999999997</v>
      </c>
      <c r="H56" s="10">
        <f>SUM($G52:$G55)</f>
        <v>34366.199999999997</v>
      </c>
      <c r="K56" s="53"/>
    </row>
    <row r="57" spans="1:14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430166.2</v>
      </c>
      <c r="K57" s="76"/>
      <c r="L57" s="78"/>
      <c r="M57" s="78"/>
    </row>
    <row r="58" spans="1:14" ht="14.25" thickTop="1" thickBot="1" x14ac:dyDescent="0.25">
      <c r="A58" s="17"/>
      <c r="B58" s="7"/>
      <c r="C58" s="7"/>
      <c r="D58" s="7"/>
      <c r="E58" s="7"/>
      <c r="F58" s="7"/>
    </row>
    <row r="59" spans="1:14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H23-H57</f>
        <v>-86504.200000000012</v>
      </c>
    </row>
    <row r="60" spans="1:14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'OCT22'!H61</f>
        <v>495563.8250000003</v>
      </c>
    </row>
    <row r="61" spans="1:14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H59+H60</f>
        <v>409059.62500000029</v>
      </c>
    </row>
    <row r="62" spans="1:14" ht="13.5" thickTop="1" x14ac:dyDescent="0.2"/>
  </sheetData>
  <mergeCells count="3">
    <mergeCell ref="A1:H1"/>
    <mergeCell ref="A7:H7"/>
    <mergeCell ref="A25:H25"/>
  </mergeCells>
  <phoneticPr fontId="0" type="noConversion"/>
  <pageMargins left="0.37" right="0.75" top="0.28000000000000003" bottom="1" header="0.26" footer="0"/>
  <pageSetup paperSize="9" scale="94" orientation="portrait" horizontalDpi="4294967292" verticalDpi="4294967292" r:id="rId1"/>
  <headerFooter alignWithMargins="0"/>
  <ignoredErrors>
    <ignoredError sqref="L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opLeftCell="A53" workbookViewId="0">
      <selection activeCell="G28" sqref="G28:G33"/>
    </sheetView>
  </sheetViews>
  <sheetFormatPr baseColWidth="10" defaultRowHeight="12.75" x14ac:dyDescent="0.2"/>
  <cols>
    <col min="1" max="6" width="12.140625" customWidth="1"/>
    <col min="7" max="7" width="14.42578125" customWidth="1"/>
    <col min="8" max="8" width="13.42578125" customWidth="1"/>
    <col min="9" max="9" width="4.5703125" customWidth="1"/>
    <col min="10" max="10" width="2.5703125" bestFit="1" customWidth="1"/>
    <col min="11" max="11" width="52.140625" bestFit="1" customWidth="1"/>
    <col min="12" max="12" width="16.140625" customWidth="1"/>
    <col min="13" max="13" width="12.5703125" bestFit="1" customWidth="1"/>
  </cols>
  <sheetData>
    <row r="1" spans="1:22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2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2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2022</v>
      </c>
    </row>
    <row r="4" spans="1:22" ht="10.5" customHeight="1" thickBot="1" x14ac:dyDescent="0.25">
      <c r="A4" s="1"/>
    </row>
    <row r="5" spans="1:22" ht="21.75" thickTop="1" thickBot="1" x14ac:dyDescent="0.35">
      <c r="C5" s="18" t="s">
        <v>2</v>
      </c>
      <c r="F5" s="42" t="s">
        <v>130</v>
      </c>
      <c r="G5" s="43"/>
    </row>
    <row r="6" spans="1:22" ht="10.5" customHeight="1" thickTop="1" x14ac:dyDescent="0.2">
      <c r="A6" s="1"/>
      <c r="M6" s="39" t="s">
        <v>67</v>
      </c>
      <c r="N6" s="39" t="s">
        <v>68</v>
      </c>
      <c r="P6" s="39" t="s">
        <v>67</v>
      </c>
      <c r="Q6" s="39" t="s">
        <v>68</v>
      </c>
      <c r="R6" s="39" t="s">
        <v>67</v>
      </c>
      <c r="S6" s="39" t="s">
        <v>68</v>
      </c>
      <c r="T6" s="39"/>
      <c r="U6" s="39"/>
      <c r="V6" s="39" t="s">
        <v>67</v>
      </c>
    </row>
    <row r="7" spans="1:22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27" t="s">
        <v>60</v>
      </c>
      <c r="L7" s="28" t="s">
        <v>61</v>
      </c>
      <c r="M7" s="48">
        <v>3</v>
      </c>
      <c r="N7" s="48">
        <v>4</v>
      </c>
      <c r="O7" s="48">
        <v>8</v>
      </c>
      <c r="P7" s="48">
        <v>10</v>
      </c>
      <c r="Q7" s="48">
        <v>11</v>
      </c>
      <c r="R7" s="48">
        <v>17</v>
      </c>
      <c r="S7" s="48">
        <v>18</v>
      </c>
      <c r="T7" s="48">
        <v>24</v>
      </c>
      <c r="U7" s="48">
        <v>25</v>
      </c>
      <c r="V7" s="48">
        <v>31</v>
      </c>
    </row>
    <row r="8" spans="1:22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31">
        <v>84500</v>
      </c>
    </row>
    <row r="9" spans="1:22" x14ac:dyDescent="0.2">
      <c r="A9" s="8" t="s">
        <v>7</v>
      </c>
      <c r="B9" s="3"/>
      <c r="C9" s="3"/>
      <c r="D9" s="3"/>
      <c r="E9" s="3"/>
      <c r="F9" s="5"/>
      <c r="G9" s="10">
        <f>L8</f>
        <v>84500</v>
      </c>
      <c r="J9" s="40" t="s">
        <v>80</v>
      </c>
      <c r="K9" s="30" t="s">
        <v>102</v>
      </c>
      <c r="L9" s="31">
        <f>SUM(M9:AM9)</f>
        <v>301259</v>
      </c>
      <c r="M9">
        <v>7260</v>
      </c>
      <c r="N9">
        <f>9951+13940+16830</f>
        <v>40721</v>
      </c>
      <c r="O9">
        <f>6750+12460+28600</f>
        <v>47810</v>
      </c>
      <c r="P9">
        <v>16180</v>
      </c>
      <c r="Q9">
        <f>23330+14380+8071</f>
        <v>45781</v>
      </c>
      <c r="R9">
        <v>8620</v>
      </c>
      <c r="S9">
        <f>23219+9880+1000+14990</f>
        <v>49089</v>
      </c>
      <c r="T9">
        <v>44208</v>
      </c>
      <c r="U9">
        <f>13580+15330</f>
        <v>28910</v>
      </c>
      <c r="V9">
        <v>12680</v>
      </c>
    </row>
    <row r="10" spans="1:22" x14ac:dyDescent="0.2">
      <c r="A10" s="8" t="s">
        <v>8</v>
      </c>
      <c r="B10" s="3"/>
      <c r="C10" s="3"/>
      <c r="D10" s="3"/>
      <c r="E10" s="3"/>
      <c r="F10" s="5"/>
      <c r="G10" s="10">
        <f t="shared" ref="G10:G18" si="0">L9</f>
        <v>301259</v>
      </c>
      <c r="J10" s="40" t="s">
        <v>81</v>
      </c>
      <c r="K10" s="30" t="s">
        <v>65</v>
      </c>
      <c r="L10" s="31">
        <f>SUM(M10:AM10)</f>
        <v>0</v>
      </c>
    </row>
    <row r="11" spans="1:22" x14ac:dyDescent="0.2">
      <c r="A11" s="8" t="s">
        <v>241</v>
      </c>
      <c r="B11" s="3"/>
      <c r="C11" s="3"/>
      <c r="D11" s="3"/>
      <c r="E11" s="3"/>
      <c r="F11" s="5"/>
      <c r="G11" s="10">
        <f t="shared" si="0"/>
        <v>0</v>
      </c>
      <c r="J11" s="40" t="s">
        <v>107</v>
      </c>
      <c r="K11" s="30" t="s">
        <v>105</v>
      </c>
      <c r="L11" s="31">
        <f>SUM(M11:AM11)</f>
        <v>10500</v>
      </c>
      <c r="M11">
        <v>2500</v>
      </c>
      <c r="P11">
        <v>4000</v>
      </c>
      <c r="R11">
        <v>4000</v>
      </c>
    </row>
    <row r="12" spans="1:22" x14ac:dyDescent="0.2">
      <c r="A12" s="8" t="s">
        <v>10</v>
      </c>
      <c r="B12" s="3"/>
      <c r="C12" s="3"/>
      <c r="D12" s="3"/>
      <c r="E12" s="3"/>
      <c r="F12" s="5"/>
      <c r="G12" s="10">
        <f t="shared" si="0"/>
        <v>10500</v>
      </c>
      <c r="J12" s="40" t="s">
        <v>108</v>
      </c>
      <c r="K12" s="30" t="s">
        <v>104</v>
      </c>
      <c r="L12" s="31">
        <f>SUM(M12:AM12)</f>
        <v>5000</v>
      </c>
      <c r="P12">
        <v>5000</v>
      </c>
    </row>
    <row r="13" spans="1:22" x14ac:dyDescent="0.2">
      <c r="A13" s="8" t="s">
        <v>71</v>
      </c>
      <c r="B13" s="3"/>
      <c r="C13" s="3"/>
      <c r="D13" s="3"/>
      <c r="E13" s="3"/>
      <c r="F13" s="5"/>
      <c r="G13" s="10">
        <f t="shared" si="0"/>
        <v>5000</v>
      </c>
      <c r="H13" s="9"/>
      <c r="J13" s="40" t="s">
        <v>119</v>
      </c>
      <c r="K13" s="30" t="s">
        <v>240</v>
      </c>
      <c r="L13" s="31">
        <f>SUM(M13:AM13)</f>
        <v>26000</v>
      </c>
      <c r="M13">
        <v>2000</v>
      </c>
      <c r="R13">
        <v>7000</v>
      </c>
      <c r="S13">
        <v>17000</v>
      </c>
    </row>
    <row r="14" spans="1:22" x14ac:dyDescent="0.2">
      <c r="A14" s="8"/>
      <c r="B14" s="3"/>
      <c r="C14" s="3" t="s">
        <v>242</v>
      </c>
      <c r="D14" s="3"/>
      <c r="E14" s="3"/>
      <c r="F14" s="5"/>
      <c r="G14" s="10">
        <f>+L13</f>
        <v>26000</v>
      </c>
      <c r="H14" s="9"/>
      <c r="J14" s="40"/>
      <c r="K14" s="30"/>
      <c r="L14" s="49"/>
    </row>
    <row r="15" spans="1:22" x14ac:dyDescent="0.2">
      <c r="A15" s="8" t="s">
        <v>12</v>
      </c>
      <c r="B15" s="3"/>
      <c r="C15" s="3"/>
      <c r="D15" s="3"/>
      <c r="E15" s="3"/>
      <c r="F15" s="5"/>
      <c r="G15" s="10">
        <v>0</v>
      </c>
      <c r="J15" s="40" t="s">
        <v>120</v>
      </c>
      <c r="K15" s="30" t="s">
        <v>122</v>
      </c>
      <c r="L15" s="31">
        <f>SUM(M15:AM15)</f>
        <v>0</v>
      </c>
    </row>
    <row r="16" spans="1:22" x14ac:dyDescent="0.2">
      <c r="A16" s="8"/>
      <c r="B16" s="3"/>
      <c r="C16" s="3"/>
      <c r="D16" s="3"/>
      <c r="E16" s="3"/>
      <c r="F16" s="5"/>
      <c r="G16" s="10">
        <v>0</v>
      </c>
      <c r="J16" s="40" t="s">
        <v>121</v>
      </c>
      <c r="K16" s="30" t="s">
        <v>123</v>
      </c>
      <c r="L16" s="31">
        <f>SUM(M16:AM16)</f>
        <v>0</v>
      </c>
    </row>
    <row r="17" spans="1:22" x14ac:dyDescent="0.2">
      <c r="A17" s="8" t="s">
        <v>202</v>
      </c>
      <c r="B17" s="3"/>
      <c r="C17" s="3"/>
      <c r="D17" s="3"/>
      <c r="E17" s="3"/>
      <c r="F17" s="5"/>
      <c r="G17" s="10">
        <f t="shared" si="0"/>
        <v>0</v>
      </c>
      <c r="J17" s="40" t="s">
        <v>85</v>
      </c>
      <c r="K17" s="30" t="s">
        <v>106</v>
      </c>
      <c r="L17" s="31">
        <f>SUM(M17:AM17)</f>
        <v>0</v>
      </c>
    </row>
    <row r="18" spans="1:22" x14ac:dyDescent="0.2">
      <c r="A18" s="8" t="s">
        <v>14</v>
      </c>
      <c r="B18" s="3"/>
      <c r="C18" s="3"/>
      <c r="D18" s="3"/>
      <c r="E18" s="3"/>
      <c r="F18" s="5"/>
      <c r="G18" s="10">
        <f t="shared" si="0"/>
        <v>0</v>
      </c>
      <c r="H18" s="9" t="s">
        <v>11</v>
      </c>
      <c r="K18" s="33" t="s">
        <v>124</v>
      </c>
      <c r="L18" s="34">
        <f>SUM(L8:L17)</f>
        <v>427259</v>
      </c>
    </row>
    <row r="19" spans="1:22" x14ac:dyDescent="0.2">
      <c r="A19" s="11"/>
      <c r="B19" s="12"/>
      <c r="C19" s="12"/>
      <c r="D19" s="12"/>
      <c r="F19" s="13" t="s">
        <v>53</v>
      </c>
      <c r="G19" s="10">
        <f>SUM(G9:G18)</f>
        <v>427259</v>
      </c>
      <c r="H19" s="10">
        <f>SUM(G9:G18)</f>
        <v>427259</v>
      </c>
      <c r="J19" s="40" t="s">
        <v>86</v>
      </c>
      <c r="K19" s="30" t="s">
        <v>118</v>
      </c>
      <c r="L19" s="31">
        <f>SUM(M19:AM19)</f>
        <v>0</v>
      </c>
    </row>
    <row r="20" spans="1:22" x14ac:dyDescent="0.2">
      <c r="A20" s="8" t="s">
        <v>51</v>
      </c>
      <c r="B20" s="3"/>
      <c r="C20" s="3"/>
      <c r="D20" s="3"/>
      <c r="E20" s="3"/>
      <c r="F20" s="5"/>
      <c r="J20" s="40" t="s">
        <v>87</v>
      </c>
      <c r="K20" s="30" t="s">
        <v>118</v>
      </c>
      <c r="L20" s="31">
        <f>SUM(M20:AM20)</f>
        <v>0</v>
      </c>
    </row>
    <row r="21" spans="1:22" x14ac:dyDescent="0.2">
      <c r="A21" s="8" t="s">
        <v>16</v>
      </c>
      <c r="B21" s="3"/>
      <c r="C21" s="3"/>
      <c r="D21" s="3"/>
      <c r="E21" s="3"/>
      <c r="F21" s="3"/>
      <c r="G21" s="10">
        <f>L19</f>
        <v>0</v>
      </c>
      <c r="K21" s="33" t="s">
        <v>128</v>
      </c>
      <c r="L21" s="34">
        <f>SUM(L19:L20)</f>
        <v>0</v>
      </c>
    </row>
    <row r="22" spans="1:22" x14ac:dyDescent="0.2">
      <c r="A22" s="8" t="s">
        <v>17</v>
      </c>
      <c r="B22" s="3"/>
      <c r="C22" s="3"/>
      <c r="D22" s="3"/>
      <c r="E22" s="3"/>
      <c r="F22" s="3"/>
      <c r="G22" s="10">
        <f>L20</f>
        <v>0</v>
      </c>
      <c r="H22" s="9" t="s">
        <v>15</v>
      </c>
      <c r="K22" s="33" t="s">
        <v>66</v>
      </c>
      <c r="L22" s="34">
        <f>SUM(L18,L21)</f>
        <v>427259</v>
      </c>
      <c r="N22" s="41"/>
    </row>
    <row r="23" spans="1:22" ht="13.5" thickBot="1" x14ac:dyDescent="0.25">
      <c r="A23" s="8"/>
      <c r="B23" s="3"/>
      <c r="C23" s="3"/>
      <c r="D23" s="3"/>
      <c r="E23" s="3"/>
      <c r="F23" s="14" t="s">
        <v>54</v>
      </c>
      <c r="G23" s="10">
        <f>SUM($G21:$G22)</f>
        <v>0</v>
      </c>
      <c r="H23" s="10">
        <f>G23</f>
        <v>0</v>
      </c>
    </row>
    <row r="24" spans="1:22" ht="16.5" thickTop="1" thickBot="1" x14ac:dyDescent="0.3">
      <c r="A24" s="6"/>
      <c r="B24" s="3"/>
      <c r="C24" s="3"/>
      <c r="D24" s="3"/>
      <c r="E24" s="3"/>
      <c r="F24" s="3"/>
      <c r="G24" s="15" t="s">
        <v>52</v>
      </c>
      <c r="H24" s="16">
        <f>SUM(H19+H23)</f>
        <v>427259</v>
      </c>
    </row>
    <row r="25" spans="1:22" ht="10.5" customHeight="1" thickTop="1" x14ac:dyDescent="0.2">
      <c r="A25" s="1"/>
    </row>
    <row r="26" spans="1:22" ht="15.75" x14ac:dyDescent="0.25">
      <c r="A26" s="98" t="s">
        <v>19</v>
      </c>
      <c r="B26" s="99"/>
      <c r="C26" s="99"/>
      <c r="D26" s="99"/>
      <c r="E26" s="99"/>
      <c r="F26" s="99"/>
      <c r="G26" s="99"/>
      <c r="H26" s="100"/>
    </row>
    <row r="27" spans="1:22" x14ac:dyDescent="0.2">
      <c r="A27" s="8" t="s">
        <v>26</v>
      </c>
      <c r="B27" s="3"/>
      <c r="C27" s="3"/>
      <c r="D27" s="3"/>
      <c r="E27" s="3"/>
      <c r="F27" s="5"/>
      <c r="K27" s="35" t="s">
        <v>19</v>
      </c>
      <c r="L27" s="28" t="s">
        <v>61</v>
      </c>
      <c r="M27" s="29">
        <v>1</v>
      </c>
      <c r="N27" s="29">
        <v>2</v>
      </c>
      <c r="O27" s="29">
        <v>3</v>
      </c>
      <c r="P27" s="29">
        <v>4</v>
      </c>
      <c r="Q27" s="29">
        <v>5</v>
      </c>
      <c r="R27" s="29">
        <v>6</v>
      </c>
      <c r="S27" s="29">
        <v>7</v>
      </c>
      <c r="T27" s="29">
        <v>8</v>
      </c>
      <c r="U27" s="29">
        <v>9</v>
      </c>
      <c r="V27" s="29">
        <v>10</v>
      </c>
    </row>
    <row r="28" spans="1:22" x14ac:dyDescent="0.2">
      <c r="A28" s="8"/>
      <c r="B28" s="3" t="s">
        <v>25</v>
      </c>
      <c r="C28" s="3"/>
      <c r="D28" s="3"/>
      <c r="E28" s="3"/>
      <c r="F28" s="3"/>
      <c r="G28" s="10">
        <v>30000</v>
      </c>
      <c r="J28" s="40" t="s">
        <v>83</v>
      </c>
      <c r="K28" s="30" t="s">
        <v>69</v>
      </c>
      <c r="L28" s="31">
        <v>30000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6"/>
      <c r="B29" s="4" t="s">
        <v>199</v>
      </c>
      <c r="C29" s="3"/>
      <c r="D29" s="3"/>
      <c r="E29" s="3"/>
      <c r="F29" s="3"/>
      <c r="G29" s="10"/>
      <c r="J29" s="40" t="s">
        <v>80</v>
      </c>
      <c r="K29" t="s">
        <v>72</v>
      </c>
      <c r="L29" s="31">
        <f>SUM(M29:AM29)</f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6"/>
      <c r="B30" s="4" t="s">
        <v>21</v>
      </c>
      <c r="C30" s="3"/>
      <c r="D30" s="3"/>
      <c r="E30" s="3"/>
      <c r="F30" s="3"/>
      <c r="G30" s="10">
        <v>20000</v>
      </c>
      <c r="J30" s="40" t="s">
        <v>81</v>
      </c>
      <c r="K30" s="30" t="s">
        <v>70</v>
      </c>
      <c r="L30" s="31">
        <v>20000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6"/>
      <c r="B31" s="4" t="s">
        <v>148</v>
      </c>
      <c r="C31" s="3"/>
      <c r="D31" s="3"/>
      <c r="E31" s="3"/>
      <c r="F31" s="3"/>
      <c r="G31" s="10">
        <f t="shared" ref="G31" si="1">L31</f>
        <v>0</v>
      </c>
      <c r="J31" s="40" t="s">
        <v>82</v>
      </c>
      <c r="K31" t="s">
        <v>149</v>
      </c>
      <c r="L31" s="31">
        <f>SUM(M31:AM31)</f>
        <v>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2">
      <c r="A32" s="6"/>
      <c r="B32" s="4" t="s">
        <v>22</v>
      </c>
      <c r="C32" s="3"/>
      <c r="D32" s="3"/>
      <c r="E32" s="3"/>
      <c r="F32" s="3"/>
      <c r="G32" s="10">
        <f>30000+30000+30000</f>
        <v>90000</v>
      </c>
      <c r="J32" s="40" t="s">
        <v>84</v>
      </c>
      <c r="K32" t="s">
        <v>73</v>
      </c>
      <c r="L32" s="31">
        <v>90000</v>
      </c>
      <c r="M32" s="32" t="s">
        <v>270</v>
      </c>
      <c r="N32" s="32"/>
      <c r="O32" s="32" t="s">
        <v>271</v>
      </c>
      <c r="P32" s="32" t="s">
        <v>200</v>
      </c>
      <c r="Q32" s="32" t="s">
        <v>272</v>
      </c>
      <c r="R32" s="32"/>
      <c r="S32" s="32"/>
      <c r="T32" s="32"/>
      <c r="U32" s="32"/>
      <c r="V32" s="32"/>
    </row>
    <row r="33" spans="1:22" x14ac:dyDescent="0.2">
      <c r="A33" s="6"/>
      <c r="B33" s="4" t="s">
        <v>55</v>
      </c>
      <c r="C33" s="3"/>
      <c r="D33" s="3"/>
      <c r="E33" s="3"/>
      <c r="F33" s="3"/>
      <c r="G33" s="10">
        <v>30100</v>
      </c>
      <c r="H33" s="9" t="s">
        <v>11</v>
      </c>
      <c r="J33" s="40" t="s">
        <v>85</v>
      </c>
      <c r="K33" t="s">
        <v>74</v>
      </c>
      <c r="L33" s="31">
        <v>30100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6"/>
      <c r="B34" s="3"/>
      <c r="C34" s="3"/>
      <c r="D34" s="3"/>
      <c r="E34" s="3"/>
      <c r="F34" s="14" t="s">
        <v>23</v>
      </c>
      <c r="G34" s="10">
        <f>SUM($G28:$G33)</f>
        <v>170100</v>
      </c>
      <c r="H34" s="10">
        <f>SUM($G28:$G33)</f>
        <v>170100</v>
      </c>
      <c r="J34" s="40" t="s">
        <v>86</v>
      </c>
      <c r="K34" s="58" t="s">
        <v>75</v>
      </c>
      <c r="L34" s="31">
        <f t="shared" ref="L34:L39" si="2">SUM(M34:AM34)</f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8" t="s">
        <v>24</v>
      </c>
      <c r="B35" s="3"/>
      <c r="C35" s="3"/>
      <c r="D35" s="3"/>
      <c r="E35" s="3"/>
      <c r="F35" s="5"/>
      <c r="J35" s="40" t="s">
        <v>87</v>
      </c>
      <c r="K35" s="58" t="s">
        <v>76</v>
      </c>
      <c r="L35" s="31">
        <f t="shared" si="2"/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6"/>
      <c r="B36" s="4" t="s">
        <v>27</v>
      </c>
      <c r="C36" s="3"/>
      <c r="D36" s="3"/>
      <c r="E36" s="3"/>
      <c r="F36" s="5"/>
      <c r="G36" s="10">
        <f>L34</f>
        <v>0</v>
      </c>
      <c r="J36" s="40" t="s">
        <v>88</v>
      </c>
      <c r="K36" s="58" t="s">
        <v>77</v>
      </c>
      <c r="L36" s="31">
        <f t="shared" si="2"/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6"/>
      <c r="B37" s="4" t="s">
        <v>28</v>
      </c>
      <c r="C37" s="3"/>
      <c r="D37" s="3"/>
      <c r="E37" s="3"/>
      <c r="F37" s="5"/>
      <c r="G37" s="10">
        <f>L35</f>
        <v>0</v>
      </c>
      <c r="J37" s="40" t="s">
        <v>89</v>
      </c>
      <c r="K37" s="58" t="s">
        <v>78</v>
      </c>
      <c r="L37" s="31">
        <f t="shared" si="2"/>
        <v>0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x14ac:dyDescent="0.2">
      <c r="A38" s="6"/>
      <c r="B38" s="4" t="s">
        <v>56</v>
      </c>
      <c r="C38" s="3"/>
      <c r="D38" s="3"/>
      <c r="E38" s="3"/>
      <c r="F38" s="5"/>
      <c r="G38" s="10">
        <f>L36</f>
        <v>0</v>
      </c>
      <c r="J38" s="40" t="s">
        <v>90</v>
      </c>
      <c r="K38" s="30" t="s">
        <v>79</v>
      </c>
      <c r="L38" s="31">
        <f t="shared" si="2"/>
        <v>0</v>
      </c>
      <c r="M38" s="32"/>
      <c r="N38" s="30"/>
      <c r="O38" s="30"/>
      <c r="P38" s="30"/>
      <c r="Q38" s="30"/>
      <c r="R38" s="30"/>
      <c r="S38" s="30"/>
      <c r="T38" s="30"/>
      <c r="U38" s="30"/>
      <c r="V38" s="30"/>
    </row>
    <row r="39" spans="1:22" x14ac:dyDescent="0.2">
      <c r="A39" s="6"/>
      <c r="B39" s="4" t="s">
        <v>34</v>
      </c>
      <c r="C39" s="3"/>
      <c r="D39" s="3"/>
      <c r="E39" s="3"/>
      <c r="F39" s="5"/>
      <c r="G39" s="10">
        <f>L37</f>
        <v>0</v>
      </c>
      <c r="H39" s="9" t="s">
        <v>15</v>
      </c>
      <c r="J39" s="40" t="s">
        <v>91</v>
      </c>
      <c r="K39" s="30" t="s">
        <v>92</v>
      </c>
      <c r="L39" s="31">
        <f t="shared" si="2"/>
        <v>0</v>
      </c>
      <c r="M39" s="32"/>
    </row>
    <row r="40" spans="1:22" x14ac:dyDescent="0.2">
      <c r="A40" s="6"/>
      <c r="B40" s="3"/>
      <c r="C40" s="3"/>
      <c r="D40" s="3"/>
      <c r="E40" s="3"/>
      <c r="F40" s="14" t="s">
        <v>31</v>
      </c>
      <c r="G40" s="10">
        <f>SUM($G36:$G39)</f>
        <v>0</v>
      </c>
      <c r="H40" s="10">
        <f>SUM($G36:$G39)</f>
        <v>0</v>
      </c>
      <c r="J40" s="40" t="s">
        <v>93</v>
      </c>
      <c r="K40" s="30" t="s">
        <v>94</v>
      </c>
      <c r="L40" s="31">
        <f>30000+11000</f>
        <v>41000</v>
      </c>
      <c r="M40" s="32" t="s">
        <v>273</v>
      </c>
      <c r="N40" t="s">
        <v>201</v>
      </c>
      <c r="O40">
        <v>11000</v>
      </c>
      <c r="P40" t="s">
        <v>274</v>
      </c>
      <c r="T40">
        <v>2600</v>
      </c>
    </row>
    <row r="41" spans="1:22" x14ac:dyDescent="0.2">
      <c r="A41" s="8" t="s">
        <v>32</v>
      </c>
      <c r="B41" s="3"/>
      <c r="C41" s="3"/>
      <c r="D41" s="3"/>
      <c r="E41" s="3"/>
      <c r="F41" s="5"/>
      <c r="J41" s="40" t="s">
        <v>98</v>
      </c>
      <c r="K41" s="30" t="s">
        <v>95</v>
      </c>
      <c r="L41" s="31">
        <f>SUM(M41:AM41)</f>
        <v>0</v>
      </c>
      <c r="M41" s="32"/>
    </row>
    <row r="42" spans="1:22" x14ac:dyDescent="0.2">
      <c r="A42" s="6"/>
      <c r="B42" s="4" t="s">
        <v>33</v>
      </c>
      <c r="C42" s="3"/>
      <c r="D42" s="3"/>
      <c r="E42" s="3"/>
      <c r="F42" s="5"/>
      <c r="G42" s="10">
        <v>0</v>
      </c>
      <c r="J42" s="40" t="s">
        <v>99</v>
      </c>
      <c r="K42" s="30" t="s">
        <v>96</v>
      </c>
      <c r="L42" s="31">
        <f>SUM(M42:AM42)</f>
        <v>0</v>
      </c>
      <c r="M42" s="32"/>
    </row>
    <row r="43" spans="1:22" x14ac:dyDescent="0.2">
      <c r="A43" s="6"/>
      <c r="B43" s="4" t="s">
        <v>35</v>
      </c>
      <c r="C43" s="3"/>
      <c r="D43" s="3"/>
      <c r="E43" s="3"/>
      <c r="F43" s="5"/>
      <c r="G43" s="10">
        <v>0</v>
      </c>
      <c r="J43" s="40" t="s">
        <v>100</v>
      </c>
      <c r="K43" s="30" t="s">
        <v>97</v>
      </c>
      <c r="L43" s="31">
        <f>SUM(M43:AM43)</f>
        <v>0</v>
      </c>
      <c r="M43" s="32"/>
    </row>
    <row r="44" spans="1:22" x14ac:dyDescent="0.2">
      <c r="A44" s="6"/>
      <c r="B44" s="4" t="s">
        <v>29</v>
      </c>
      <c r="C44" s="3"/>
      <c r="D44" s="3"/>
      <c r="E44" s="3"/>
      <c r="F44" s="5"/>
      <c r="G44" s="10">
        <f>30000+11000</f>
        <v>41000</v>
      </c>
      <c r="J44" s="40" t="s">
        <v>111</v>
      </c>
      <c r="K44" s="30" t="s">
        <v>65</v>
      </c>
      <c r="L44" s="31">
        <f>SUM(M44:AM44)</f>
        <v>0</v>
      </c>
      <c r="M44" s="32"/>
    </row>
    <row r="45" spans="1:22" x14ac:dyDescent="0.2">
      <c r="A45" s="6"/>
      <c r="B45" s="4" t="s">
        <v>36</v>
      </c>
      <c r="C45" s="3"/>
      <c r="D45" s="3"/>
      <c r="E45" s="3"/>
      <c r="F45" s="5"/>
      <c r="G45" s="10">
        <f t="shared" ref="G45:G47" si="3">L41</f>
        <v>0</v>
      </c>
      <c r="J45" s="40" t="s">
        <v>109</v>
      </c>
      <c r="K45" s="30" t="s">
        <v>141</v>
      </c>
      <c r="L45" s="31">
        <v>170000</v>
      </c>
      <c r="M45" s="32"/>
    </row>
    <row r="46" spans="1:22" x14ac:dyDescent="0.2">
      <c r="A46" s="6"/>
      <c r="B46" s="4" t="s">
        <v>37</v>
      </c>
      <c r="C46" s="3"/>
      <c r="D46" s="3"/>
      <c r="E46" s="3"/>
      <c r="F46" s="5"/>
      <c r="G46" s="10">
        <f t="shared" si="3"/>
        <v>0</v>
      </c>
      <c r="J46" s="40" t="s">
        <v>110</v>
      </c>
      <c r="K46" s="30" t="s">
        <v>65</v>
      </c>
      <c r="L46" s="31">
        <f>SUM(M46:AM46)</f>
        <v>0</v>
      </c>
      <c r="M46" s="32"/>
    </row>
    <row r="47" spans="1:22" x14ac:dyDescent="0.2">
      <c r="A47" s="6"/>
      <c r="B47" s="4" t="s">
        <v>38</v>
      </c>
      <c r="C47" s="3"/>
      <c r="D47" s="3"/>
      <c r="E47" s="3"/>
      <c r="F47" s="5"/>
      <c r="G47" s="10">
        <f t="shared" si="3"/>
        <v>0</v>
      </c>
      <c r="J47" s="40" t="s">
        <v>112</v>
      </c>
      <c r="K47" s="30" t="s">
        <v>116</v>
      </c>
      <c r="L47" s="31">
        <f>SUM(M47:AM47)</f>
        <v>0</v>
      </c>
    </row>
    <row r="48" spans="1:22" x14ac:dyDescent="0.2">
      <c r="A48" s="6"/>
      <c r="B48" s="4" t="s">
        <v>129</v>
      </c>
      <c r="C48" s="3"/>
      <c r="D48" s="3"/>
      <c r="E48" s="3"/>
      <c r="F48" s="5"/>
      <c r="G48" s="10">
        <v>50000</v>
      </c>
      <c r="J48" s="40" t="s">
        <v>113</v>
      </c>
      <c r="K48" s="30" t="s">
        <v>117</v>
      </c>
      <c r="L48" s="31">
        <f>SUM(M48:AM48)</f>
        <v>0</v>
      </c>
    </row>
    <row r="49" spans="1:13" x14ac:dyDescent="0.2">
      <c r="A49" s="8" t="s">
        <v>30</v>
      </c>
      <c r="B49" s="3"/>
      <c r="C49" s="3" t="s">
        <v>243</v>
      </c>
      <c r="D49" s="3"/>
      <c r="E49" s="3"/>
      <c r="F49" s="5"/>
      <c r="G49" s="10">
        <v>120000</v>
      </c>
      <c r="J49" s="40" t="s">
        <v>114</v>
      </c>
      <c r="K49" s="30" t="s">
        <v>118</v>
      </c>
      <c r="L49" s="31">
        <f>SUM(M49:AM49)</f>
        <v>0</v>
      </c>
      <c r="M49" s="32"/>
    </row>
    <row r="50" spans="1:13" x14ac:dyDescent="0.2">
      <c r="A50" s="8" t="s">
        <v>0</v>
      </c>
      <c r="B50" s="3" t="s">
        <v>39</v>
      </c>
      <c r="C50" s="3" t="s">
        <v>244</v>
      </c>
      <c r="D50" s="3"/>
      <c r="E50" s="3"/>
      <c r="F50" s="5"/>
      <c r="G50" s="10"/>
      <c r="H50" s="9" t="s">
        <v>18</v>
      </c>
      <c r="J50" s="40" t="s">
        <v>115</v>
      </c>
      <c r="K50" s="30" t="s">
        <v>118</v>
      </c>
      <c r="L50" s="31">
        <f>SUM(M50:AM50)</f>
        <v>0</v>
      </c>
      <c r="M50" s="32"/>
    </row>
    <row r="51" spans="1:13" x14ac:dyDescent="0.2">
      <c r="A51" s="6"/>
      <c r="B51" s="3"/>
      <c r="C51" s="3"/>
      <c r="D51" s="3"/>
      <c r="E51" s="3"/>
      <c r="F51" s="14" t="s">
        <v>40</v>
      </c>
      <c r="G51" s="10">
        <f>SUM($G42:$G50)</f>
        <v>211000</v>
      </c>
      <c r="H51" s="10">
        <f>SUM($G42:$G50)</f>
        <v>211000</v>
      </c>
      <c r="K51" s="36" t="s">
        <v>124</v>
      </c>
      <c r="L51" s="37">
        <f>SUM(L28:L33)</f>
        <v>170100</v>
      </c>
    </row>
    <row r="52" spans="1:13" x14ac:dyDescent="0.2">
      <c r="A52" s="8" t="s">
        <v>41</v>
      </c>
      <c r="B52" s="3"/>
      <c r="C52" s="3"/>
      <c r="D52" s="3"/>
      <c r="E52" s="3"/>
      <c r="F52" s="5"/>
      <c r="K52" s="36" t="s">
        <v>125</v>
      </c>
      <c r="L52" s="37">
        <f>SUM(L34:L37)</f>
        <v>0</v>
      </c>
    </row>
    <row r="53" spans="1:13" x14ac:dyDescent="0.2">
      <c r="A53" s="6"/>
      <c r="B53" s="4" t="s">
        <v>42</v>
      </c>
      <c r="C53" s="3"/>
      <c r="D53" s="3"/>
      <c r="E53" s="3"/>
      <c r="F53" s="5"/>
      <c r="G53" s="10">
        <f>(H19-G16)*5/100</f>
        <v>21362.95</v>
      </c>
      <c r="K53" s="36" t="s">
        <v>126</v>
      </c>
      <c r="L53" s="37">
        <f>SUM(L38:L46)</f>
        <v>211000</v>
      </c>
    </row>
    <row r="54" spans="1:13" x14ac:dyDescent="0.2">
      <c r="A54" s="6"/>
      <c r="B54" s="4" t="s">
        <v>58</v>
      </c>
      <c r="C54" s="3"/>
      <c r="D54" s="3"/>
      <c r="E54" s="3"/>
      <c r="F54" s="5"/>
      <c r="G54" s="10">
        <f>+(H19-G16)*0.05</f>
        <v>21362.95</v>
      </c>
      <c r="K54" s="36" t="s">
        <v>66</v>
      </c>
      <c r="L54" s="37">
        <f>SUM(L28:L50)</f>
        <v>381100</v>
      </c>
    </row>
    <row r="55" spans="1:13" x14ac:dyDescent="0.2">
      <c r="A55" s="6"/>
      <c r="B55" s="4" t="s">
        <v>43</v>
      </c>
      <c r="C55" s="3"/>
      <c r="D55" s="3"/>
      <c r="E55" s="3"/>
      <c r="F55" s="5"/>
      <c r="G55" s="10">
        <f>L49</f>
        <v>0</v>
      </c>
    </row>
    <row r="56" spans="1:13" x14ac:dyDescent="0.2">
      <c r="A56" s="6"/>
      <c r="B56" s="4" t="s">
        <v>57</v>
      </c>
      <c r="C56" s="3"/>
      <c r="D56" s="3"/>
      <c r="E56" s="3"/>
      <c r="F56" s="5"/>
      <c r="G56" s="10">
        <f>L50</f>
        <v>0</v>
      </c>
      <c r="H56" s="9" t="s">
        <v>45</v>
      </c>
    </row>
    <row r="57" spans="1:13" ht="13.5" thickBot="1" x14ac:dyDescent="0.25">
      <c r="A57" s="6"/>
      <c r="B57" s="3"/>
      <c r="C57" s="3"/>
      <c r="D57" s="3"/>
      <c r="E57" s="3"/>
      <c r="F57" s="14" t="s">
        <v>59</v>
      </c>
      <c r="G57" s="10">
        <f>SUM($G53:$G56)</f>
        <v>42725.9</v>
      </c>
      <c r="H57" s="10">
        <f>SUM($G53:$G56)</f>
        <v>42725.9</v>
      </c>
    </row>
    <row r="58" spans="1:13" ht="16.5" thickTop="1" thickBot="1" x14ac:dyDescent="0.3">
      <c r="A58" s="6"/>
      <c r="B58" s="3"/>
      <c r="C58" s="3"/>
      <c r="D58" s="3"/>
      <c r="E58" s="3"/>
      <c r="F58" s="3"/>
      <c r="G58" s="15" t="s">
        <v>44</v>
      </c>
      <c r="H58" s="16">
        <f>H34+H40+H51+H57</f>
        <v>423825.9</v>
      </c>
    </row>
    <row r="59" spans="1:13" ht="14.25" thickTop="1" thickBot="1" x14ac:dyDescent="0.25">
      <c r="A59" s="17"/>
      <c r="B59" s="7"/>
      <c r="C59" s="7"/>
      <c r="D59" s="7"/>
      <c r="E59" s="7"/>
      <c r="F59" s="7"/>
    </row>
    <row r="60" spans="1:13" ht="15" customHeight="1" thickTop="1" x14ac:dyDescent="0.2">
      <c r="A60" s="20" t="s">
        <v>46</v>
      </c>
      <c r="B60" s="21"/>
      <c r="C60" s="21"/>
      <c r="D60" s="21"/>
      <c r="E60" s="21"/>
      <c r="F60" s="21"/>
      <c r="G60" s="22" t="s">
        <v>48</v>
      </c>
      <c r="H60" s="19">
        <f>H24-H58</f>
        <v>3433.0999999999767</v>
      </c>
    </row>
    <row r="61" spans="1:13" ht="15" customHeight="1" x14ac:dyDescent="0.2">
      <c r="A61" s="25" t="s">
        <v>4</v>
      </c>
      <c r="B61" s="26"/>
      <c r="C61" s="3"/>
      <c r="D61" s="3"/>
      <c r="E61" s="3"/>
      <c r="F61" s="3"/>
      <c r="G61" s="5"/>
      <c r="H61" s="10">
        <f>'NOV22'!H61</f>
        <v>409059.62500000029</v>
      </c>
    </row>
    <row r="62" spans="1:13" ht="15" customHeight="1" thickBot="1" x14ac:dyDescent="0.25">
      <c r="A62" s="20" t="s">
        <v>47</v>
      </c>
      <c r="B62" s="21"/>
      <c r="C62" s="21"/>
      <c r="D62" s="21"/>
      <c r="E62" s="21"/>
      <c r="F62" s="21"/>
      <c r="G62" s="24"/>
      <c r="H62" s="23">
        <f>H60+H61</f>
        <v>412492.72500000027</v>
      </c>
    </row>
    <row r="63" spans="1:13" ht="13.5" thickTop="1" x14ac:dyDescent="0.2"/>
    <row r="65" spans="8:8" x14ac:dyDescent="0.2">
      <c r="H65" s="61"/>
    </row>
  </sheetData>
  <mergeCells count="3">
    <mergeCell ref="A1:H1"/>
    <mergeCell ref="A7:H7"/>
    <mergeCell ref="A26:H26"/>
  </mergeCells>
  <pageMargins left="0.37" right="0.75" top="0.28000000000000003" bottom="1" header="0.26" footer="0"/>
  <pageSetup paperSize="9" scale="92"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opLeftCell="B40" workbookViewId="0">
      <selection activeCell="G50" sqref="G50"/>
    </sheetView>
  </sheetViews>
  <sheetFormatPr baseColWidth="10" defaultRowHeight="12.75" x14ac:dyDescent="0.2"/>
  <cols>
    <col min="1" max="6" width="12.140625" customWidth="1"/>
    <col min="7" max="7" width="14.5703125" customWidth="1"/>
    <col min="8" max="8" width="14.42578125" bestFit="1" customWidth="1"/>
    <col min="9" max="9" width="4.5703125" customWidth="1"/>
    <col min="10" max="10" width="2.5703125" bestFit="1" customWidth="1"/>
    <col min="11" max="11" width="52.140625" bestFit="1" customWidth="1"/>
    <col min="12" max="12" width="14.7109375" bestFit="1" customWidth="1"/>
    <col min="13" max="13" width="12.5703125" bestFit="1" customWidth="1"/>
  </cols>
  <sheetData>
    <row r="1" spans="1:25" ht="20.25" customHeight="1" x14ac:dyDescent="0.2">
      <c r="A1" s="95" t="s">
        <v>1</v>
      </c>
      <c r="B1" s="96"/>
      <c r="C1" s="96"/>
      <c r="D1" s="96"/>
      <c r="E1" s="96"/>
      <c r="F1" s="96"/>
      <c r="G1" s="96"/>
      <c r="H1" s="97"/>
    </row>
    <row r="2" spans="1:25" ht="14.25" customHeight="1" x14ac:dyDescent="0.2">
      <c r="A2" s="2" t="s">
        <v>49</v>
      </c>
      <c r="B2" s="38" t="s">
        <v>164</v>
      </c>
      <c r="C2" s="4"/>
      <c r="D2" s="3"/>
      <c r="E2" s="3"/>
      <c r="F2" s="6" t="s">
        <v>5</v>
      </c>
      <c r="G2" s="3"/>
      <c r="H2" s="5"/>
      <c r="I2" s="7"/>
    </row>
    <row r="3" spans="1:25" ht="14.25" customHeight="1" x14ac:dyDescent="0.2">
      <c r="A3" s="8" t="s">
        <v>50</v>
      </c>
      <c r="B3" s="26" t="s">
        <v>62</v>
      </c>
      <c r="C3" s="3"/>
      <c r="D3" s="3"/>
      <c r="E3" s="3"/>
      <c r="F3" s="5"/>
      <c r="G3" s="45" t="s">
        <v>127</v>
      </c>
      <c r="H3" s="44">
        <v>2021</v>
      </c>
    </row>
    <row r="4" spans="1:25" ht="10.5" customHeight="1" thickBot="1" x14ac:dyDescent="0.25">
      <c r="A4" s="1"/>
    </row>
    <row r="5" spans="1:25" ht="21.75" thickTop="1" thickBot="1" x14ac:dyDescent="0.35">
      <c r="C5" s="18" t="s">
        <v>173</v>
      </c>
      <c r="F5" s="42" t="s">
        <v>130</v>
      </c>
      <c r="G5" s="43"/>
    </row>
    <row r="6" spans="1:25" ht="10.5" customHeight="1" thickTop="1" x14ac:dyDescent="0.2">
      <c r="A6" s="1"/>
      <c r="M6" s="39" t="s">
        <v>67</v>
      </c>
      <c r="N6" s="39" t="s">
        <v>68</v>
      </c>
      <c r="O6" s="39" t="s">
        <v>67</v>
      </c>
      <c r="P6" s="39" t="s">
        <v>68</v>
      </c>
      <c r="Q6" s="39" t="s">
        <v>67</v>
      </c>
      <c r="R6" s="39" t="s">
        <v>68</v>
      </c>
      <c r="S6" s="39" t="s">
        <v>67</v>
      </c>
      <c r="T6" s="39" t="s">
        <v>68</v>
      </c>
      <c r="U6" s="39" t="s">
        <v>147</v>
      </c>
      <c r="V6" s="39" t="s">
        <v>163</v>
      </c>
      <c r="W6" s="39" t="s">
        <v>67</v>
      </c>
      <c r="X6" s="39" t="s">
        <v>68</v>
      </c>
      <c r="Y6" s="39" t="s">
        <v>147</v>
      </c>
    </row>
    <row r="7" spans="1:25" ht="15.75" x14ac:dyDescent="0.25">
      <c r="A7" s="98" t="s">
        <v>6</v>
      </c>
      <c r="B7" s="99"/>
      <c r="C7" s="99"/>
      <c r="D7" s="99"/>
      <c r="E7" s="99"/>
      <c r="F7" s="99"/>
      <c r="G7" s="99"/>
      <c r="H7" s="100"/>
      <c r="K7" s="46" t="s">
        <v>60</v>
      </c>
      <c r="L7" s="47" t="s">
        <v>61</v>
      </c>
      <c r="M7" s="48">
        <v>1</v>
      </c>
      <c r="N7" s="48">
        <v>2</v>
      </c>
      <c r="O7" s="48">
        <v>8</v>
      </c>
      <c r="P7" s="48">
        <v>9</v>
      </c>
      <c r="Q7" s="48">
        <v>15</v>
      </c>
      <c r="R7" s="48">
        <v>16</v>
      </c>
      <c r="S7" s="48">
        <v>22</v>
      </c>
      <c r="T7" s="48">
        <v>23</v>
      </c>
      <c r="U7" s="48">
        <v>24</v>
      </c>
      <c r="V7" s="48">
        <v>25</v>
      </c>
      <c r="W7" s="48">
        <v>29</v>
      </c>
      <c r="X7" s="48">
        <v>30</v>
      </c>
      <c r="Y7" s="48">
        <v>31</v>
      </c>
    </row>
    <row r="8" spans="1:25" x14ac:dyDescent="0.2">
      <c r="A8" s="8" t="s">
        <v>3</v>
      </c>
      <c r="B8" s="3"/>
      <c r="C8" s="3"/>
      <c r="D8" s="3"/>
      <c r="E8" s="3"/>
      <c r="F8" s="5"/>
      <c r="J8" s="40" t="s">
        <v>83</v>
      </c>
      <c r="K8" s="30" t="s">
        <v>101</v>
      </c>
      <c r="L8" s="49">
        <f>SUM(M8:AQ8)</f>
        <v>0</v>
      </c>
    </row>
    <row r="9" spans="1:25" x14ac:dyDescent="0.2">
      <c r="A9" s="8" t="s">
        <v>7</v>
      </c>
      <c r="B9" s="3"/>
      <c r="C9" s="3"/>
      <c r="D9" s="3"/>
      <c r="E9" s="3"/>
      <c r="F9" s="5"/>
      <c r="G9" s="10">
        <f>+'DIC22'!G9+'NOV22'!G9+'OCT22'!G9+'SEP22'!G9+'AGO22'!G9+'JUL22'!G9+'JUN22'!G9+'MAY23'!G9+'ABR 2023'!G9+'MAR23'!G9+'0223'!G9+'ENE 23'!G9</f>
        <v>998000</v>
      </c>
      <c r="J9" s="40" t="s">
        <v>80</v>
      </c>
      <c r="K9" s="30" t="s">
        <v>102</v>
      </c>
      <c r="L9" s="49">
        <f t="shared" ref="L9:L19" si="0">SUM(M9:AQ9)</f>
        <v>72332.5</v>
      </c>
      <c r="M9">
        <v>1827</v>
      </c>
      <c r="N9">
        <f>1480+5445+4445</f>
        <v>11370</v>
      </c>
      <c r="O9">
        <v>4665.75</v>
      </c>
      <c r="P9">
        <f>1265+3692+1831</f>
        <v>6788</v>
      </c>
      <c r="Q9">
        <v>1752</v>
      </c>
      <c r="R9">
        <f>1820+3151+3525</f>
        <v>8496</v>
      </c>
      <c r="S9">
        <v>2226.5</v>
      </c>
      <c r="T9">
        <f>1705+3550.25+2215</f>
        <v>7470.25</v>
      </c>
      <c r="U9">
        <v>9824.25</v>
      </c>
      <c r="V9">
        <f>3375+1388</f>
        <v>4763</v>
      </c>
      <c r="W9">
        <v>2850</v>
      </c>
      <c r="X9">
        <f>990+3578.75+3580</f>
        <v>8148.75</v>
      </c>
      <c r="Y9">
        <f>2031+120</f>
        <v>2151</v>
      </c>
    </row>
    <row r="10" spans="1:25" x14ac:dyDescent="0.2">
      <c r="A10" s="8" t="s">
        <v>8</v>
      </c>
      <c r="B10" s="3"/>
      <c r="C10" s="3"/>
      <c r="D10" s="3"/>
      <c r="E10" s="3"/>
      <c r="F10" s="5"/>
      <c r="G10" s="10">
        <f>+'DIC22'!G10+'NOV22'!G10+'OCT22'!G10+'SEP22'!G10+'AGO22'!G10+'JUL22'!G10+'JUN22'!G10+'MAY23'!G10+'ABR 2023'!G10+'MAR23'!G10+'0223'!G10+'ENE 23'!G10</f>
        <v>2828427</v>
      </c>
      <c r="J10" s="40" t="s">
        <v>81</v>
      </c>
      <c r="K10" s="30" t="s">
        <v>103</v>
      </c>
      <c r="L10" s="49">
        <f>SUM(M10:AQ10)</f>
        <v>0</v>
      </c>
    </row>
    <row r="11" spans="1:25" x14ac:dyDescent="0.2">
      <c r="A11" s="8" t="s">
        <v>203</v>
      </c>
      <c r="B11" s="3"/>
      <c r="C11" s="3"/>
      <c r="D11" s="3"/>
      <c r="E11" s="3"/>
      <c r="F11" s="5"/>
      <c r="G11" s="10">
        <f>1410+4200</f>
        <v>5610</v>
      </c>
      <c r="J11" s="40" t="s">
        <v>107</v>
      </c>
      <c r="K11" s="30" t="s">
        <v>105</v>
      </c>
      <c r="L11" s="49">
        <f t="shared" si="0"/>
        <v>5200</v>
      </c>
      <c r="M11">
        <v>750</v>
      </c>
      <c r="N11">
        <v>1100</v>
      </c>
      <c r="P11">
        <v>1150</v>
      </c>
      <c r="Q11">
        <v>400</v>
      </c>
      <c r="S11">
        <v>1800</v>
      </c>
    </row>
    <row r="12" spans="1:25" x14ac:dyDescent="0.2">
      <c r="A12" s="8" t="s">
        <v>10</v>
      </c>
      <c r="B12" s="3"/>
      <c r="C12" s="3"/>
      <c r="D12" s="3"/>
      <c r="E12" s="3"/>
      <c r="F12" s="5"/>
      <c r="G12" s="10">
        <f>+'DIC22'!G12+'NOV22'!G12+'OCT22'!G12+'SEP22'!G12+'AGO22'!G12+'JUL22'!G12+'JUN22'!G12+'MAY23'!G12+'ABR 2023'!G12+'MAR23'!G12+'0223'!G12+'ENE 23'!G12</f>
        <v>214780</v>
      </c>
      <c r="J12" s="40" t="s">
        <v>108</v>
      </c>
      <c r="K12" s="30" t="s">
        <v>104</v>
      </c>
      <c r="L12" s="49">
        <f t="shared" si="0"/>
        <v>6000</v>
      </c>
      <c r="M12">
        <v>6000</v>
      </c>
    </row>
    <row r="13" spans="1:25" x14ac:dyDescent="0.2">
      <c r="A13" s="8" t="s">
        <v>71</v>
      </c>
      <c r="B13" s="3"/>
      <c r="C13" s="3"/>
      <c r="D13" s="3"/>
      <c r="E13" s="3"/>
      <c r="F13" s="5"/>
      <c r="G13" s="10">
        <f>+'DIC22'!G13+'NOV22'!G13+'OCT22'!G13+'SEP22'!G13+'AGO22'!G13+'JUL22'!G13+'JUN22'!G13+'MAY23'!G13+'ABR 2023'!G13+'MAR23'!G13+'0223'!G13+'ENE 23'!G13</f>
        <v>81030</v>
      </c>
      <c r="H13" s="9"/>
      <c r="J13" s="40" t="s">
        <v>119</v>
      </c>
      <c r="K13" s="30" t="s">
        <v>63</v>
      </c>
      <c r="L13" s="49">
        <f t="shared" si="0"/>
        <v>0</v>
      </c>
    </row>
    <row r="14" spans="1:25" x14ac:dyDescent="0.2">
      <c r="A14" s="8" t="s">
        <v>227</v>
      </c>
      <c r="C14" s="3"/>
      <c r="G14" s="10">
        <f>+'DIC22'!G14+'NOV22'!G14+'OCT22'!G14+'SEP22'!G14+'AGO22'!G14+'JUL22'!G14+'JUN22'!G14+'MAY23'!G14+'ABR 2023'!G14+'MAR23'!G14+'0223'!G14+'ENE 23'!G14+'MAR23'!G11+'ABR 2023'!G11+'JUN22'!G11+'OCT22'!G14</f>
        <v>55890</v>
      </c>
      <c r="J14" s="40" t="s">
        <v>120</v>
      </c>
      <c r="K14" s="30" t="s">
        <v>122</v>
      </c>
      <c r="L14" s="49">
        <f t="shared" si="0"/>
        <v>0</v>
      </c>
    </row>
    <row r="15" spans="1:25" x14ac:dyDescent="0.2">
      <c r="A15" s="8" t="s">
        <v>12</v>
      </c>
      <c r="B15" s="3"/>
      <c r="C15" s="3"/>
      <c r="D15" s="3"/>
      <c r="E15" s="3"/>
      <c r="F15" s="5"/>
      <c r="G15" s="10">
        <f>+'DIC22'!G15+'NOV22'!G15+'OCT22'!G15+'SEP22'!G15+'AGO22'!G15+'JUL22'!G15+'JUN22'!G15+'MAY23'!G15+'ABR 2023'!G15+'MAR23'!G15+'0223'!G15+'ENE 23'!G15</f>
        <v>0</v>
      </c>
      <c r="H15" s="89"/>
      <c r="J15" s="40" t="s">
        <v>121</v>
      </c>
      <c r="K15" s="30" t="s">
        <v>123</v>
      </c>
      <c r="L15" s="49">
        <f t="shared" si="0"/>
        <v>0</v>
      </c>
    </row>
    <row r="16" spans="1:25" x14ac:dyDescent="0.2">
      <c r="A16" s="8" t="s">
        <v>13</v>
      </c>
      <c r="B16" s="3"/>
      <c r="C16" s="3"/>
      <c r="D16" s="3"/>
      <c r="E16" s="3"/>
      <c r="F16" s="5"/>
      <c r="G16" s="10">
        <f>+'DIC22'!G16+'NOV22'!G16+'OCT22'!G16+'SEP22'!G16+'AGO22'!G16+'JUL22'!G16+'JUN22'!G16+'MAY23'!G16+'ABR 2023'!G16+'MAR23'!G16+'0223'!G16+'ENE 23'!G16</f>
        <v>0</v>
      </c>
      <c r="J16" s="40" t="s">
        <v>85</v>
      </c>
      <c r="K16" s="30" t="s">
        <v>106</v>
      </c>
      <c r="L16" s="49">
        <f t="shared" si="0"/>
        <v>0</v>
      </c>
    </row>
    <row r="17" spans="1:22" x14ac:dyDescent="0.2">
      <c r="A17" s="8" t="s">
        <v>14</v>
      </c>
      <c r="B17" s="3"/>
      <c r="C17" s="3"/>
      <c r="D17" s="3"/>
      <c r="E17" s="3"/>
      <c r="F17" s="5"/>
      <c r="G17" s="10">
        <f>+'DIC22'!G17+'NOV22'!G17+'OCT22'!G17+'SEP22'!G17+'AGO22'!G17+'JUL22'!G17+'JUN22'!G17+'MAY23'!G17+'ABR 2023'!G17+'MAR23'!G17+'0223'!G17+'ENE 23'!G17</f>
        <v>0</v>
      </c>
      <c r="H17" s="9" t="s">
        <v>11</v>
      </c>
      <c r="K17" s="50" t="s">
        <v>124</v>
      </c>
      <c r="L17" s="51">
        <f>SUM(L8:L16)</f>
        <v>83532.5</v>
      </c>
    </row>
    <row r="18" spans="1:22" x14ac:dyDescent="0.2">
      <c r="A18" s="11"/>
      <c r="B18" s="12"/>
      <c r="C18" s="12"/>
      <c r="D18" s="12"/>
      <c r="F18" s="13" t="s">
        <v>53</v>
      </c>
      <c r="G18" s="10">
        <f>SUM(G9:G17)</f>
        <v>4183737</v>
      </c>
      <c r="H18" s="10">
        <f>SUM(G9:G17)</f>
        <v>4183737</v>
      </c>
      <c r="J18" s="40" t="s">
        <v>86</v>
      </c>
      <c r="K18" s="30" t="s">
        <v>118</v>
      </c>
      <c r="L18" s="49">
        <f t="shared" si="0"/>
        <v>0</v>
      </c>
    </row>
    <row r="19" spans="1:22" x14ac:dyDescent="0.2">
      <c r="A19" s="8" t="s">
        <v>51</v>
      </c>
      <c r="B19" s="3"/>
      <c r="C19" s="3"/>
      <c r="D19" s="3"/>
      <c r="E19" s="3"/>
      <c r="F19" s="5"/>
      <c r="J19" s="40" t="s">
        <v>87</v>
      </c>
      <c r="K19" s="30" t="s">
        <v>118</v>
      </c>
      <c r="L19" s="49">
        <f t="shared" si="0"/>
        <v>0</v>
      </c>
    </row>
    <row r="20" spans="1:22" x14ac:dyDescent="0.2">
      <c r="A20" s="8" t="s">
        <v>16</v>
      </c>
      <c r="B20" s="3"/>
      <c r="C20" s="3"/>
      <c r="D20" s="3"/>
      <c r="E20" s="3"/>
      <c r="F20" s="3"/>
      <c r="G20" s="10">
        <f>+'DIC22'!G21+'NOV22'!G20+'OCT22'!G20+'SEP22'!G20+'AGO22'!G21+'JUL22'!G20+'JUN22'!G20+'MAY23'!G20+'ABR 2023'!G20+'MAR23'!G20+'0223'!G21+'ENE 23'!G20</f>
        <v>286520</v>
      </c>
      <c r="K20" s="50" t="s">
        <v>128</v>
      </c>
      <c r="L20" s="51">
        <f>SUM(L18:L19)</f>
        <v>0</v>
      </c>
    </row>
    <row r="21" spans="1:22" x14ac:dyDescent="0.2">
      <c r="A21" s="8" t="s">
        <v>17</v>
      </c>
      <c r="B21" s="3"/>
      <c r="C21" s="3"/>
      <c r="D21" s="3"/>
      <c r="E21" s="3"/>
      <c r="F21" s="3"/>
      <c r="G21" s="10">
        <f>+'DIC22'!G22+'NOV22'!G21+'OCT22'!G21+'SEP22'!G21+'AGO22'!G22+'JUL22'!G21+'JUN22'!G21+'MAY23'!G21+'ABR 2023'!G21+'MAR23'!G21+'0223'!G22+'ENE 23'!G21</f>
        <v>0</v>
      </c>
      <c r="H21" s="9" t="s">
        <v>15</v>
      </c>
      <c r="K21" s="50" t="s">
        <v>66</v>
      </c>
      <c r="L21" s="51">
        <f>SUM(L17,L20)</f>
        <v>83532.5</v>
      </c>
      <c r="N21" s="41"/>
    </row>
    <row r="22" spans="1:22" ht="13.5" thickBot="1" x14ac:dyDescent="0.25">
      <c r="A22" s="8"/>
      <c r="B22" s="3"/>
      <c r="C22" s="3"/>
      <c r="D22" s="3"/>
      <c r="E22" s="3"/>
      <c r="F22" s="14" t="s">
        <v>54</v>
      </c>
      <c r="G22" s="10">
        <f>SUM($G20:$G21)</f>
        <v>286520</v>
      </c>
      <c r="H22" s="10">
        <f>G22</f>
        <v>286520</v>
      </c>
    </row>
    <row r="23" spans="1:22" ht="16.5" thickTop="1" thickBot="1" x14ac:dyDescent="0.3">
      <c r="A23" s="6"/>
      <c r="B23" s="3"/>
      <c r="C23" s="3"/>
      <c r="D23" s="3"/>
      <c r="E23" s="3"/>
      <c r="F23" s="3"/>
      <c r="G23" s="15" t="s">
        <v>52</v>
      </c>
      <c r="H23" s="16">
        <f>SUM(H18+H22)</f>
        <v>4470257</v>
      </c>
    </row>
    <row r="24" spans="1:22" ht="10.5" customHeight="1" thickTop="1" x14ac:dyDescent="0.2">
      <c r="A24" s="1"/>
    </row>
    <row r="25" spans="1:22" ht="15.75" x14ac:dyDescent="0.25">
      <c r="A25" s="98" t="s">
        <v>19</v>
      </c>
      <c r="B25" s="99"/>
      <c r="C25" s="99"/>
      <c r="D25" s="99"/>
      <c r="E25" s="99"/>
      <c r="F25" s="99"/>
      <c r="G25" s="99"/>
      <c r="H25" s="100"/>
    </row>
    <row r="26" spans="1:22" x14ac:dyDescent="0.2">
      <c r="A26" s="8" t="s">
        <v>26</v>
      </c>
      <c r="B26" s="3"/>
      <c r="C26" s="3"/>
      <c r="D26" s="3"/>
      <c r="E26" s="3"/>
      <c r="F26" s="5"/>
      <c r="K26" s="52" t="s">
        <v>19</v>
      </c>
      <c r="L26" s="47" t="s">
        <v>61</v>
      </c>
      <c r="M26" s="48">
        <v>1</v>
      </c>
      <c r="N26" s="48">
        <v>2</v>
      </c>
      <c r="O26" s="48">
        <v>3</v>
      </c>
      <c r="P26" s="48">
        <v>4</v>
      </c>
      <c r="Q26" s="48">
        <v>5</v>
      </c>
      <c r="R26" s="48">
        <v>6</v>
      </c>
      <c r="S26" s="48">
        <v>7</v>
      </c>
      <c r="T26" s="48">
        <v>8</v>
      </c>
      <c r="U26" s="48">
        <v>9</v>
      </c>
      <c r="V26" s="48">
        <v>10</v>
      </c>
    </row>
    <row r="27" spans="1:22" x14ac:dyDescent="0.2">
      <c r="A27" s="8"/>
      <c r="B27" s="3" t="s">
        <v>25</v>
      </c>
      <c r="C27" s="3"/>
      <c r="D27" s="3"/>
      <c r="E27" s="3"/>
      <c r="F27" s="3"/>
      <c r="G27" s="10">
        <f>15000*12</f>
        <v>180000</v>
      </c>
      <c r="J27" s="40" t="s">
        <v>83</v>
      </c>
      <c r="K27" s="30" t="s">
        <v>69</v>
      </c>
      <c r="L27" s="49">
        <f t="shared" ref="L27:L49" si="1">SUM(M27:AQ27)</f>
        <v>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6"/>
      <c r="B28" s="4" t="s">
        <v>199</v>
      </c>
      <c r="C28" s="3"/>
      <c r="D28" s="3"/>
      <c r="E28" s="3"/>
      <c r="F28" s="3"/>
      <c r="G28" s="10">
        <f>20000+6000+2000+13000</f>
        <v>41000</v>
      </c>
      <c r="J28" s="40" t="s">
        <v>80</v>
      </c>
      <c r="K28" t="s">
        <v>72</v>
      </c>
      <c r="L28" s="49">
        <f t="shared" si="1"/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6"/>
      <c r="B29" s="4" t="s">
        <v>21</v>
      </c>
      <c r="C29" s="3"/>
      <c r="D29" s="3"/>
      <c r="E29" s="3"/>
      <c r="F29" s="3"/>
      <c r="G29" s="10">
        <f>5000*12</f>
        <v>60000</v>
      </c>
      <c r="J29" s="40" t="s">
        <v>81</v>
      </c>
      <c r="K29" s="30" t="s">
        <v>70</v>
      </c>
      <c r="L29" s="49">
        <f t="shared" si="1"/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6"/>
      <c r="B30" s="4" t="s">
        <v>148</v>
      </c>
      <c r="C30" s="3"/>
      <c r="D30" s="3"/>
      <c r="E30" s="3"/>
      <c r="F30" s="3"/>
      <c r="G30" s="10"/>
      <c r="J30" s="40" t="s">
        <v>82</v>
      </c>
      <c r="K30" t="s">
        <v>149</v>
      </c>
      <c r="L30" s="49">
        <f t="shared" si="1"/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6"/>
      <c r="B31" s="4" t="s">
        <v>22</v>
      </c>
      <c r="C31" s="3"/>
      <c r="D31" s="3"/>
      <c r="E31" s="3"/>
      <c r="F31" s="3"/>
      <c r="G31" s="10">
        <f>+'DIC22'!G32+'NOV22'!G31+'OCT22'!G31+'SEP22'!G31+'AGO22'!G32+'JUL22'!G31+'JUN22'!G31+'MAY23'!G31+'ABR 2023'!G31+'MAR23'!G31+'0223'!G32+'ENE 23'!G31</f>
        <v>700700</v>
      </c>
      <c r="J31" s="40" t="s">
        <v>84</v>
      </c>
      <c r="K31" t="s">
        <v>73</v>
      </c>
      <c r="L31" s="49">
        <f t="shared" si="1"/>
        <v>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2">
      <c r="A32" s="6"/>
      <c r="B32" s="4" t="s">
        <v>55</v>
      </c>
      <c r="C32" s="3"/>
      <c r="D32" s="3"/>
      <c r="E32" s="3"/>
      <c r="F32" s="3"/>
      <c r="G32" s="10">
        <f>+'DIC22'!G33+'NOV22'!G32+'OCT22'!G32+'SEP22'!G32+'AGO22'!G33+'JUL22'!G32+'JUN22'!G32+'MAY23'!G32+'ABR 2023'!G32+'MAR23'!G32+'0223'!G33+'ENE 23'!G32</f>
        <v>317300</v>
      </c>
      <c r="H32" s="9" t="s">
        <v>11</v>
      </c>
      <c r="J32" s="40" t="s">
        <v>85</v>
      </c>
      <c r="K32" t="s">
        <v>74</v>
      </c>
      <c r="L32" s="49">
        <f t="shared" si="1"/>
        <v>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6"/>
      <c r="B33" s="3"/>
      <c r="C33" s="3"/>
      <c r="D33" s="3"/>
      <c r="E33" s="3"/>
      <c r="F33" s="14" t="s">
        <v>23</v>
      </c>
      <c r="G33" s="10">
        <f>SUM($G27:$G32)</f>
        <v>1299000</v>
      </c>
      <c r="H33" s="10">
        <f>SUM($G27:$G32)</f>
        <v>1299000</v>
      </c>
      <c r="J33" s="40" t="s">
        <v>86</v>
      </c>
      <c r="K33" s="58" t="s">
        <v>75</v>
      </c>
      <c r="L33" s="49">
        <f t="shared" si="1"/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8" t="s">
        <v>24</v>
      </c>
      <c r="B34" s="3"/>
      <c r="C34" s="3"/>
      <c r="D34" s="3"/>
      <c r="E34" s="3"/>
      <c r="F34" s="5"/>
      <c r="J34" s="40" t="s">
        <v>87</v>
      </c>
      <c r="K34" s="58" t="s">
        <v>76</v>
      </c>
      <c r="L34" s="49">
        <f t="shared" si="1"/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6"/>
      <c r="B35" s="4" t="s">
        <v>27</v>
      </c>
      <c r="C35" s="3"/>
      <c r="D35" s="3"/>
      <c r="E35" s="3"/>
      <c r="F35" s="5"/>
      <c r="G35" s="10">
        <f>L33</f>
        <v>0</v>
      </c>
      <c r="J35" s="40" t="s">
        <v>88</v>
      </c>
      <c r="K35" s="58" t="s">
        <v>77</v>
      </c>
      <c r="L35" s="49">
        <f t="shared" si="1"/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6"/>
      <c r="B36" s="4" t="s">
        <v>28</v>
      </c>
      <c r="C36" s="3"/>
      <c r="D36" s="3"/>
      <c r="E36" s="3"/>
      <c r="F36" s="5"/>
      <c r="G36" s="10">
        <f>L34</f>
        <v>0</v>
      </c>
      <c r="J36" s="40" t="s">
        <v>89</v>
      </c>
      <c r="K36" s="58" t="s">
        <v>78</v>
      </c>
      <c r="L36" s="49">
        <f t="shared" si="1"/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6"/>
      <c r="B37" s="4" t="s">
        <v>56</v>
      </c>
      <c r="C37" s="3"/>
      <c r="D37" s="3"/>
      <c r="E37" s="3"/>
      <c r="F37" s="5"/>
      <c r="G37" s="10">
        <f>L35</f>
        <v>0</v>
      </c>
      <c r="J37" s="40" t="s">
        <v>90</v>
      </c>
      <c r="K37" s="30" t="s">
        <v>79</v>
      </c>
      <c r="L37" s="49">
        <f t="shared" si="1"/>
        <v>0</v>
      </c>
      <c r="M37" s="32"/>
      <c r="N37" s="30"/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6"/>
      <c r="B38" s="4" t="s">
        <v>34</v>
      </c>
      <c r="C38" s="3"/>
      <c r="D38" s="3"/>
      <c r="E38" s="3"/>
      <c r="F38" s="5"/>
      <c r="G38" s="10">
        <f>L36</f>
        <v>0</v>
      </c>
      <c r="H38" s="9" t="s">
        <v>15</v>
      </c>
      <c r="J38" s="40" t="s">
        <v>91</v>
      </c>
      <c r="K38" s="30" t="s">
        <v>92</v>
      </c>
      <c r="L38" s="49">
        <f t="shared" si="1"/>
        <v>0</v>
      </c>
      <c r="M38" s="32"/>
    </row>
    <row r="39" spans="1:22" x14ac:dyDescent="0.2">
      <c r="A39" s="6"/>
      <c r="B39" s="3"/>
      <c r="C39" s="3"/>
      <c r="D39" s="3"/>
      <c r="E39" s="3"/>
      <c r="F39" s="14" t="s">
        <v>31</v>
      </c>
      <c r="G39" s="10">
        <f>SUM($G35:$G38)</f>
        <v>0</v>
      </c>
      <c r="H39" s="10">
        <f>SUM($G35:$G38)</f>
        <v>0</v>
      </c>
      <c r="J39" s="40" t="s">
        <v>93</v>
      </c>
      <c r="K39" s="30" t="s">
        <v>94</v>
      </c>
      <c r="L39" s="49">
        <f t="shared" si="1"/>
        <v>0</v>
      </c>
      <c r="M39" s="32"/>
    </row>
    <row r="40" spans="1:22" x14ac:dyDescent="0.2">
      <c r="A40" s="8" t="s">
        <v>32</v>
      </c>
      <c r="B40" s="3"/>
      <c r="C40" s="3"/>
      <c r="D40" s="3"/>
      <c r="E40" s="3"/>
      <c r="F40" s="5"/>
      <c r="J40" s="40" t="s">
        <v>98</v>
      </c>
      <c r="K40" s="30" t="s">
        <v>95</v>
      </c>
      <c r="L40" s="49">
        <f t="shared" si="1"/>
        <v>0</v>
      </c>
      <c r="M40" s="32"/>
    </row>
    <row r="41" spans="1:22" x14ac:dyDescent="0.2">
      <c r="A41" s="6"/>
      <c r="B41" s="4" t="s">
        <v>33</v>
      </c>
      <c r="C41" s="3"/>
      <c r="D41" s="3"/>
      <c r="E41" s="3"/>
      <c r="F41" s="5"/>
      <c r="G41" s="10">
        <v>25000</v>
      </c>
      <c r="H41" t="s">
        <v>249</v>
      </c>
      <c r="J41" s="40" t="s">
        <v>99</v>
      </c>
      <c r="K41" s="30" t="s">
        <v>96</v>
      </c>
      <c r="L41" s="49">
        <f t="shared" si="1"/>
        <v>0</v>
      </c>
      <c r="M41" s="32"/>
    </row>
    <row r="42" spans="1:22" x14ac:dyDescent="0.2">
      <c r="A42" s="6"/>
      <c r="B42" s="4" t="s">
        <v>35</v>
      </c>
      <c r="C42" s="3"/>
      <c r="D42" s="3"/>
      <c r="E42" s="3"/>
      <c r="F42" s="5"/>
      <c r="G42" s="10">
        <f>+'DIC22'!G43+'NOV22'!G42+'OCT22'!G42+'SEP22'!G42+'AGO22'!G43+'JUL22'!G42+'JUN22'!G42+'MAY23'!G42+'ABR 2023'!G42+'MAR23'!G42+'0223'!G43+'ENE 23'!G42</f>
        <v>27050</v>
      </c>
      <c r="J42" s="40" t="s">
        <v>100</v>
      </c>
      <c r="K42" s="30" t="s">
        <v>97</v>
      </c>
      <c r="L42" s="49">
        <f t="shared" si="1"/>
        <v>0</v>
      </c>
      <c r="M42" s="32"/>
    </row>
    <row r="43" spans="1:22" x14ac:dyDescent="0.2">
      <c r="A43" s="6"/>
      <c r="B43" s="4" t="s">
        <v>29</v>
      </c>
      <c r="C43" s="3"/>
      <c r="D43" s="3"/>
      <c r="E43" s="3"/>
      <c r="F43" s="5"/>
      <c r="G43" s="10">
        <f>+'DIC22'!G44+'NOV22'!G43+'OCT22'!G43+'SEP22'!G43+'AGO22'!G44+'JUL22'!G43+'JUN22'!G43+'MAY23'!G43+'ABR 2023'!G43+'MAR23'!G43+'0223'!G44+'ENE 23'!G43</f>
        <v>505715</v>
      </c>
      <c r="J43" s="40" t="s">
        <v>111</v>
      </c>
      <c r="K43" s="30" t="s">
        <v>65</v>
      </c>
      <c r="L43" s="49">
        <f t="shared" si="1"/>
        <v>0</v>
      </c>
      <c r="M43" s="32"/>
    </row>
    <row r="44" spans="1:22" x14ac:dyDescent="0.2">
      <c r="A44" s="6"/>
      <c r="B44" s="4" t="s">
        <v>36</v>
      </c>
      <c r="C44" s="3"/>
      <c r="D44" s="3"/>
      <c r="E44" s="3"/>
      <c r="F44" s="5"/>
      <c r="G44" s="10"/>
      <c r="J44" s="40" t="s">
        <v>109</v>
      </c>
      <c r="K44" s="30" t="s">
        <v>141</v>
      </c>
      <c r="L44" s="49">
        <f>SUM(M44:AQ44)</f>
        <v>0</v>
      </c>
      <c r="M44" s="32"/>
    </row>
    <row r="45" spans="1:22" x14ac:dyDescent="0.2">
      <c r="A45" s="6"/>
      <c r="B45" s="4" t="s">
        <v>37</v>
      </c>
      <c r="C45" s="3"/>
      <c r="D45" s="3"/>
      <c r="E45" s="3"/>
      <c r="F45" s="5"/>
      <c r="G45" s="10">
        <f>+'DIC22'!G46+'NOV22'!G45+'OCT22'!G45+'SEP22'!G45+'AGO22'!G46+'JUL22'!G45+'JUN22'!G45+'MAY23'!G45+'ABR 2023'!G45+'MAR23'!G45+'0223'!G46+'ENE 23'!G45</f>
        <v>200000</v>
      </c>
      <c r="J45" s="40" t="s">
        <v>110</v>
      </c>
      <c r="K45" s="30" t="s">
        <v>65</v>
      </c>
      <c r="L45" s="49">
        <f t="shared" si="1"/>
        <v>0</v>
      </c>
      <c r="M45" s="32"/>
    </row>
    <row r="46" spans="1:22" x14ac:dyDescent="0.2">
      <c r="A46" s="6"/>
      <c r="B46" s="4" t="s">
        <v>38</v>
      </c>
      <c r="C46" s="3"/>
      <c r="D46" s="3"/>
      <c r="E46" s="3"/>
      <c r="F46" s="5"/>
      <c r="G46" s="10">
        <f>+'DIC22'!G47+'NOV22'!G46+'OCT22'!G46+'SEP22'!G46+'AGO22'!G47+'JUL22'!G46+'JUN22'!G46+'MAY23'!G46+'ABR 2023'!G46+'MAR23'!G46+'0223'!G47+'ENE 23'!G46</f>
        <v>194000</v>
      </c>
      <c r="J46" s="40" t="s">
        <v>112</v>
      </c>
      <c r="K46" s="30" t="s">
        <v>116</v>
      </c>
      <c r="L46" s="49">
        <f t="shared" si="1"/>
        <v>0</v>
      </c>
    </row>
    <row r="47" spans="1:22" x14ac:dyDescent="0.2">
      <c r="A47" s="6"/>
      <c r="B47" s="4" t="s">
        <v>246</v>
      </c>
      <c r="C47" s="3"/>
      <c r="D47" s="3"/>
      <c r="E47" s="3"/>
      <c r="F47" s="5"/>
      <c r="G47" s="10">
        <f>+'ENE 23'!G47+'0223'!G50+'ABR 2023'!G48+'MAY23'!G48+'JUL22'!G47+'OCT22'!G49+'NOV22'!G48+'DIC22'!G48</f>
        <v>400000</v>
      </c>
      <c r="J47" s="40" t="s">
        <v>113</v>
      </c>
      <c r="K47" s="30" t="s">
        <v>117</v>
      </c>
      <c r="L47" s="49">
        <f t="shared" si="1"/>
        <v>0</v>
      </c>
    </row>
    <row r="48" spans="1:22" x14ac:dyDescent="0.2">
      <c r="A48" s="8" t="s">
        <v>30</v>
      </c>
      <c r="B48" s="3" t="s">
        <v>39</v>
      </c>
      <c r="C48" s="3" t="s">
        <v>247</v>
      </c>
      <c r="D48" s="3"/>
      <c r="E48" s="3" t="s">
        <v>250</v>
      </c>
      <c r="F48" s="5"/>
      <c r="G48" s="10">
        <f>+'0223'!G49+'JUL22'!G49+'SEP22'!G48+'OCT22'!G48+'DIC22'!G49+'DIC22'!G50+'AGO22'!G48</f>
        <v>120000</v>
      </c>
      <c r="J48" s="40" t="s">
        <v>114</v>
      </c>
      <c r="K48" s="30" t="s">
        <v>118</v>
      </c>
      <c r="L48" s="49">
        <f t="shared" si="1"/>
        <v>0</v>
      </c>
      <c r="M48" s="32"/>
    </row>
    <row r="49" spans="1:13" x14ac:dyDescent="0.2">
      <c r="A49" s="8" t="s">
        <v>0</v>
      </c>
      <c r="B49" s="3" t="s">
        <v>39</v>
      </c>
      <c r="C49" s="3"/>
      <c r="D49" s="3"/>
      <c r="E49" s="3"/>
      <c r="F49" s="5"/>
      <c r="G49" s="10"/>
      <c r="H49" s="9" t="s">
        <v>18</v>
      </c>
      <c r="J49" s="40" t="s">
        <v>115</v>
      </c>
      <c r="K49" s="30" t="s">
        <v>118</v>
      </c>
      <c r="L49" s="49">
        <f t="shared" si="1"/>
        <v>0</v>
      </c>
      <c r="M49" s="32"/>
    </row>
    <row r="50" spans="1:13" x14ac:dyDescent="0.2">
      <c r="A50" s="6"/>
      <c r="B50" s="3"/>
      <c r="C50" s="3"/>
      <c r="D50" s="3"/>
      <c r="E50" s="3"/>
      <c r="F50" s="14" t="s">
        <v>40</v>
      </c>
      <c r="G50" s="10">
        <f>SUM($G41:$G49)</f>
        <v>1471765</v>
      </c>
      <c r="H50" s="10">
        <f>SUM($G41:$G49)</f>
        <v>1471765</v>
      </c>
      <c r="K50" s="53" t="s">
        <v>124</v>
      </c>
      <c r="L50" s="54">
        <f>SUM(L27:L32)</f>
        <v>0</v>
      </c>
    </row>
    <row r="51" spans="1:13" x14ac:dyDescent="0.2">
      <c r="A51" s="8" t="s">
        <v>41</v>
      </c>
      <c r="B51" s="3"/>
      <c r="C51" s="3"/>
      <c r="D51" s="3"/>
      <c r="E51" s="3"/>
      <c r="F51" s="5"/>
      <c r="K51" s="53" t="s">
        <v>125</v>
      </c>
      <c r="L51" s="54">
        <f>SUM(L33:L36)</f>
        <v>0</v>
      </c>
    </row>
    <row r="52" spans="1:13" x14ac:dyDescent="0.2">
      <c r="A52" s="6"/>
      <c r="B52" s="4" t="s">
        <v>42</v>
      </c>
      <c r="C52" s="3"/>
      <c r="D52" s="3"/>
      <c r="E52" s="3"/>
      <c r="F52" s="5"/>
      <c r="G52" s="10">
        <f>+G18*0.05</f>
        <v>209186.85</v>
      </c>
      <c r="K52" s="53" t="s">
        <v>126</v>
      </c>
      <c r="L52" s="54">
        <f>SUM(L37:L45)</f>
        <v>0</v>
      </c>
    </row>
    <row r="53" spans="1:13" x14ac:dyDescent="0.2">
      <c r="A53" s="6"/>
      <c r="B53" s="4" t="s">
        <v>58</v>
      </c>
      <c r="C53" s="3"/>
      <c r="D53" s="3"/>
      <c r="E53" s="3"/>
      <c r="F53" s="5"/>
      <c r="G53" s="10">
        <f>(H18*5)/100</f>
        <v>209186.85</v>
      </c>
      <c r="K53" s="53" t="s">
        <v>66</v>
      </c>
      <c r="L53" s="54">
        <f>SUM(L27:L49)</f>
        <v>0</v>
      </c>
    </row>
    <row r="54" spans="1:13" x14ac:dyDescent="0.2">
      <c r="A54" s="6"/>
      <c r="B54" s="4" t="s">
        <v>43</v>
      </c>
      <c r="C54" s="3"/>
      <c r="D54" s="3"/>
      <c r="E54" s="3"/>
      <c r="F54" s="5"/>
      <c r="G54" s="10">
        <f>(H19*5)/100</f>
        <v>0</v>
      </c>
    </row>
    <row r="55" spans="1:13" x14ac:dyDescent="0.2">
      <c r="A55" s="6"/>
      <c r="B55" s="4" t="s">
        <v>57</v>
      </c>
      <c r="C55" s="3"/>
      <c r="D55" s="3"/>
      <c r="E55" s="3"/>
      <c r="F55" s="5"/>
      <c r="G55" s="10">
        <f>+G20</f>
        <v>286520</v>
      </c>
      <c r="H55" s="9" t="s">
        <v>45</v>
      </c>
    </row>
    <row r="56" spans="1:13" ht="13.5" thickBot="1" x14ac:dyDescent="0.25">
      <c r="A56" s="6"/>
      <c r="B56" s="3"/>
      <c r="C56" s="3"/>
      <c r="D56" s="3"/>
      <c r="E56" s="3"/>
      <c r="F56" s="14" t="s">
        <v>59</v>
      </c>
      <c r="G56" s="10">
        <f>SUM($G52:$G55)</f>
        <v>704893.7</v>
      </c>
      <c r="H56" s="10">
        <f>SUM($G52:$G55)</f>
        <v>704893.7</v>
      </c>
    </row>
    <row r="57" spans="1:13" ht="16.5" thickTop="1" thickBot="1" x14ac:dyDescent="0.3">
      <c r="A57" s="6"/>
      <c r="B57" s="3"/>
      <c r="C57" s="3"/>
      <c r="D57" s="3"/>
      <c r="E57" s="3"/>
      <c r="F57" s="3"/>
      <c r="G57" s="15" t="s">
        <v>44</v>
      </c>
      <c r="H57" s="16">
        <f>H33+H39+H50+H56</f>
        <v>3475658.7</v>
      </c>
    </row>
    <row r="58" spans="1:13" ht="14.25" thickTop="1" thickBot="1" x14ac:dyDescent="0.25">
      <c r="A58" s="17"/>
      <c r="B58" s="7"/>
      <c r="C58" s="7"/>
      <c r="D58" s="7"/>
      <c r="E58" s="7"/>
      <c r="F58" s="7"/>
    </row>
    <row r="59" spans="1:13" ht="15" customHeight="1" thickTop="1" x14ac:dyDescent="0.2">
      <c r="A59" s="20" t="s">
        <v>46</v>
      </c>
      <c r="B59" s="21"/>
      <c r="C59" s="21"/>
      <c r="D59" s="21"/>
      <c r="E59" s="21"/>
      <c r="F59" s="21"/>
      <c r="G59" s="22" t="s">
        <v>48</v>
      </c>
      <c r="H59" s="19">
        <f>+H23-H57</f>
        <v>994598.29999999981</v>
      </c>
    </row>
    <row r="60" spans="1:13" ht="15" customHeight="1" x14ac:dyDescent="0.2">
      <c r="A60" s="25" t="s">
        <v>4</v>
      </c>
      <c r="B60" s="26"/>
      <c r="C60" s="3"/>
      <c r="D60" s="3"/>
      <c r="E60" s="3"/>
      <c r="F60" s="3"/>
      <c r="G60" s="5"/>
      <c r="H60" s="10">
        <f>+'ENE 23'!H60</f>
        <v>290253.42500000022</v>
      </c>
    </row>
    <row r="61" spans="1:13" ht="15" customHeight="1" thickBot="1" x14ac:dyDescent="0.25">
      <c r="A61" s="20" t="s">
        <v>47</v>
      </c>
      <c r="B61" s="21"/>
      <c r="C61" s="21"/>
      <c r="D61" s="21"/>
      <c r="E61" s="21"/>
      <c r="F61" s="21"/>
      <c r="G61" s="24"/>
      <c r="H61" s="23">
        <f>+H59+H60</f>
        <v>1284851.7250000001</v>
      </c>
    </row>
    <row r="62" spans="1:13" ht="13.5" thickTop="1" x14ac:dyDescent="0.2">
      <c r="H62" s="61"/>
    </row>
    <row r="63" spans="1:13" x14ac:dyDescent="0.2">
      <c r="H63" s="61"/>
    </row>
    <row r="64" spans="1:13" x14ac:dyDescent="0.2">
      <c r="H64" s="61"/>
    </row>
  </sheetData>
  <mergeCells count="3">
    <mergeCell ref="A1:H1"/>
    <mergeCell ref="A7:H7"/>
    <mergeCell ref="A25:H25"/>
  </mergeCells>
  <pageMargins left="0.37" right="0.75" top="0.28000000000000003" bottom="1" header="0.26" footer="0"/>
  <pageSetup paperSize="9" scale="92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ENE 23</vt:lpstr>
      <vt:lpstr>JUN22</vt:lpstr>
      <vt:lpstr>JUL22</vt:lpstr>
      <vt:lpstr>AGO22</vt:lpstr>
      <vt:lpstr>SEP22</vt:lpstr>
      <vt:lpstr>OCT22</vt:lpstr>
      <vt:lpstr>NOV22</vt:lpstr>
      <vt:lpstr>DIC22</vt:lpstr>
      <vt:lpstr>TOTAL 2021</vt:lpstr>
      <vt:lpstr>Hoja2</vt:lpstr>
      <vt:lpstr>Hoja1</vt:lpstr>
      <vt:lpstr>0223</vt:lpstr>
      <vt:lpstr>MAR23</vt:lpstr>
      <vt:lpstr>ABR 2023</vt:lpstr>
      <vt:lpstr>MAY23</vt:lpstr>
      <vt:lpstr>Hoja3</vt:lpstr>
      <vt:lpstr>'0223'!Área_de_impresión</vt:lpstr>
      <vt:lpstr>'ABR 2023'!Área_de_impresión</vt:lpstr>
      <vt:lpstr>'AGO22'!Área_de_impresión</vt:lpstr>
      <vt:lpstr>'DIC22'!Área_de_impresión</vt:lpstr>
      <vt:lpstr>'ENE 23'!Área_de_impresión</vt:lpstr>
      <vt:lpstr>'JUL22'!Área_de_impresión</vt:lpstr>
      <vt:lpstr>'JUN22'!Área_de_impresión</vt:lpstr>
      <vt:lpstr>'MAR23'!Área_de_impresión</vt:lpstr>
      <vt:lpstr>'MAY23'!Área_de_impresión</vt:lpstr>
      <vt:lpstr>'NOV22'!Área_de_impresión</vt:lpstr>
      <vt:lpstr>'OCT22'!Área_de_impresión</vt:lpstr>
      <vt:lpstr>'SEP22'!Área_de_impresión</vt:lpstr>
      <vt:lpstr>'TOTAL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Obispado de Morón</dc:creator>
  <cp:lastModifiedBy>Adriana</cp:lastModifiedBy>
  <cp:lastPrinted>2022-08-04T00:29:14Z</cp:lastPrinted>
  <dcterms:created xsi:type="dcterms:W3CDTF">2001-07-27T12:53:39Z</dcterms:created>
  <dcterms:modified xsi:type="dcterms:W3CDTF">2023-06-02T01:57:14Z</dcterms:modified>
</cp:coreProperties>
</file>